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1680" windowWidth="10632" windowHeight="9912" activeTab="5"/>
  </bookViews>
  <sheets>
    <sheet name="пр1" sheetId="32" r:id="rId1"/>
    <sheet name="пр2" sheetId="15" r:id="rId2"/>
    <sheet name="пр3" sheetId="3" r:id="rId3"/>
    <sheet name="пр4" sheetId="33" r:id="rId4"/>
    <sheet name="пр5" sheetId="24" r:id="rId5"/>
    <sheet name="пр6" sheetId="34" r:id="rId6"/>
  </sheets>
  <externalReferences>
    <externalReference r:id="rId7"/>
    <externalReference r:id="rId8"/>
    <externalReference r:id="rId9"/>
  </externalReferences>
  <definedNames>
    <definedName name="_xlnm._FilterDatabase" localSheetId="0" hidden="1">пр1!$A$8:$G$53</definedName>
    <definedName name="_xlnm._FilterDatabase" localSheetId="1" hidden="1">пр2!$A$8:$H$212</definedName>
    <definedName name="_xlnm._FilterDatabase" localSheetId="2" hidden="1">пр3!$A$8:$G$206</definedName>
  </definedNames>
  <calcPr calcId="125725"/>
</workbook>
</file>

<file path=xl/calcChain.xml><?xml version="1.0" encoding="utf-8"?>
<calcChain xmlns="http://schemas.openxmlformats.org/spreadsheetml/2006/main">
  <c r="H40" i="15"/>
  <c r="G40"/>
  <c r="G52"/>
  <c r="G184" i="3" l="1"/>
  <c r="G185"/>
  <c r="G186"/>
  <c r="G183"/>
  <c r="G110" i="15"/>
  <c r="F116"/>
  <c r="F115"/>
  <c r="G145" i="3"/>
  <c r="G151"/>
  <c r="G182" l="1"/>
  <c r="H23" i="34" l="1"/>
  <c r="F23"/>
  <c r="E23"/>
  <c r="D23"/>
  <c r="K22"/>
  <c r="J21"/>
  <c r="G21"/>
  <c r="C21"/>
  <c r="J20"/>
  <c r="I20"/>
  <c r="G20"/>
  <c r="C20"/>
  <c r="J19"/>
  <c r="G19"/>
  <c r="C19"/>
  <c r="K19" s="1"/>
  <c r="J18"/>
  <c r="G18"/>
  <c r="C18"/>
  <c r="B18"/>
  <c r="K18" s="1"/>
  <c r="J17"/>
  <c r="I17"/>
  <c r="G17"/>
  <c r="C17"/>
  <c r="K17" s="1"/>
  <c r="J16"/>
  <c r="G16"/>
  <c r="K16" s="1"/>
  <c r="C16"/>
  <c r="J15"/>
  <c r="G15"/>
  <c r="C15"/>
  <c r="J14"/>
  <c r="G14"/>
  <c r="K14" s="1"/>
  <c r="C14"/>
  <c r="J13"/>
  <c r="I13"/>
  <c r="I23" s="1"/>
  <c r="G13"/>
  <c r="J12"/>
  <c r="G12"/>
  <c r="C12"/>
  <c r="C23" s="1"/>
  <c r="J23" l="1"/>
  <c r="K15"/>
  <c r="K20"/>
  <c r="K21"/>
  <c r="G23"/>
  <c r="K13"/>
  <c r="K12"/>
  <c r="B23"/>
  <c r="K23" s="1"/>
  <c r="F22" i="15" l="1"/>
  <c r="G17" i="3" s="1"/>
  <c r="H188" i="15"/>
  <c r="H107"/>
  <c r="G107"/>
  <c r="F108"/>
  <c r="F109"/>
  <c r="G95"/>
  <c r="F96"/>
  <c r="F106"/>
  <c r="H105"/>
  <c r="F105" s="1"/>
  <c r="G152" i="3" s="1"/>
  <c r="F104" i="15"/>
  <c r="G150" i="3" s="1"/>
  <c r="F77" i="15"/>
  <c r="F78"/>
  <c r="F79"/>
  <c r="F80"/>
  <c r="F81"/>
  <c r="H76"/>
  <c r="G76"/>
  <c r="F69"/>
  <c r="F67"/>
  <c r="F65"/>
  <c r="F63"/>
  <c r="F56"/>
  <c r="G103" i="3" s="1"/>
  <c r="F42" i="15"/>
  <c r="G34" i="3" s="1"/>
  <c r="F43" i="15"/>
  <c r="G35" i="3" s="1"/>
  <c r="F44" i="15"/>
  <c r="J9" i="32"/>
  <c r="J12"/>
  <c r="G94" i="15" l="1"/>
  <c r="F76"/>
  <c r="H95"/>
  <c r="H94" s="1"/>
  <c r="F107"/>
  <c r="I43" i="32"/>
  <c r="J44" s="1"/>
  <c r="I38"/>
  <c r="I36"/>
  <c r="H134" i="15" l="1"/>
  <c r="H52"/>
  <c r="F55"/>
  <c r="G43" i="3" s="1"/>
  <c r="H14" i="15"/>
  <c r="G14"/>
  <c r="F18"/>
  <c r="G89" i="3" s="1"/>
  <c r="G57" i="32"/>
  <c r="C17" i="33" l="1"/>
  <c r="G114" i="3" l="1"/>
  <c r="G115"/>
  <c r="G112"/>
  <c r="F145" i="15" l="1"/>
  <c r="G190" i="3" s="1"/>
  <c r="F100" i="15" l="1"/>
  <c r="G153" i="3" s="1"/>
  <c r="G66" i="15" l="1"/>
  <c r="G64" l="1"/>
  <c r="G142"/>
  <c r="H64" l="1"/>
  <c r="G105" i="3"/>
  <c r="F64" i="15" l="1"/>
  <c r="F50" i="32"/>
  <c r="F49"/>
  <c r="F48"/>
  <c r="F46"/>
  <c r="F45"/>
  <c r="F44"/>
  <c r="F43"/>
  <c r="F36"/>
  <c r="F20"/>
  <c r="F19"/>
  <c r="F9"/>
  <c r="F57" l="1"/>
  <c r="C9" i="24" l="1"/>
  <c r="G106" i="3" l="1"/>
  <c r="G104" s="1"/>
  <c r="H152" i="15" l="1"/>
  <c r="H149"/>
  <c r="H146"/>
  <c r="H136"/>
  <c r="H121"/>
  <c r="H117"/>
  <c r="H111"/>
  <c r="H144" l="1"/>
  <c r="G30" l="1"/>
  <c r="G130" l="1"/>
  <c r="C12" i="24" l="1"/>
  <c r="C11" s="1"/>
  <c r="H86" i="15" l="1"/>
  <c r="F98"/>
  <c r="G138" i="3" l="1"/>
  <c r="G137"/>
  <c r="G132" l="1"/>
  <c r="G186" i="15" l="1"/>
  <c r="H186"/>
  <c r="F189"/>
  <c r="F185"/>
  <c r="F103"/>
  <c r="G149" i="3" s="1"/>
  <c r="G179" l="1"/>
  <c r="G75"/>
  <c r="F123" i="15"/>
  <c r="F120"/>
  <c r="F113"/>
  <c r="F91"/>
  <c r="G141" i="3" l="1"/>
  <c r="G165"/>
  <c r="G158"/>
  <c r="G147"/>
  <c r="F139" i="15"/>
  <c r="F140"/>
  <c r="F141"/>
  <c r="H110"/>
  <c r="F117"/>
  <c r="F118"/>
  <c r="F119"/>
  <c r="F121"/>
  <c r="F122"/>
  <c r="F124"/>
  <c r="F111"/>
  <c r="F110" l="1"/>
  <c r="G187" i="3"/>
  <c r="G166"/>
  <c r="G163"/>
  <c r="G156"/>
  <c r="G164"/>
  <c r="H68" i="15" l="1"/>
  <c r="H59" s="1"/>
  <c r="G51" i="3" l="1"/>
  <c r="G50" s="1"/>
  <c r="G68" i="15"/>
  <c r="F87"/>
  <c r="F88"/>
  <c r="F68" l="1"/>
  <c r="F59" s="1"/>
  <c r="G59"/>
  <c r="F29" l="1"/>
  <c r="F28" s="1"/>
  <c r="H28"/>
  <c r="G24" i="3"/>
  <c r="G23" l="1"/>
  <c r="G28" i="15"/>
  <c r="G194" i="3"/>
  <c r="G86" i="15" l="1"/>
  <c r="F160" l="1"/>
  <c r="F93"/>
  <c r="H37"/>
  <c r="G37"/>
  <c r="G143" i="3" l="1"/>
  <c r="G199"/>
  <c r="G57" i="15" l="1"/>
  <c r="H57"/>
  <c r="F58"/>
  <c r="G57" i="3"/>
  <c r="F57" i="15" l="1"/>
  <c r="G45" i="3"/>
  <c r="F39" i="15"/>
  <c r="G30" i="3" l="1"/>
  <c r="F16" i="15"/>
  <c r="G87" i="3" l="1"/>
  <c r="F150" i="15"/>
  <c r="G195" i="3" l="1"/>
  <c r="G177"/>
  <c r="F187" i="15" l="1"/>
  <c r="F147" l="1"/>
  <c r="F148"/>
  <c r="G193" i="3" l="1"/>
  <c r="G192"/>
  <c r="F133" i="15"/>
  <c r="F157" l="1"/>
  <c r="H156"/>
  <c r="G156"/>
  <c r="F156" l="1"/>
  <c r="G39" i="3"/>
  <c r="G38"/>
  <c r="F136" i="15" l="1"/>
  <c r="G171" i="3" l="1"/>
  <c r="G37"/>
  <c r="F51" i="15" l="1"/>
  <c r="F50"/>
  <c r="H49"/>
  <c r="G49"/>
  <c r="F41"/>
  <c r="F132"/>
  <c r="G131" i="3"/>
  <c r="H130" i="15"/>
  <c r="F137"/>
  <c r="F112"/>
  <c r="H30"/>
  <c r="G19"/>
  <c r="G11"/>
  <c r="H11"/>
  <c r="F184"/>
  <c r="G183"/>
  <c r="F153"/>
  <c r="F154"/>
  <c r="F66"/>
  <c r="F138"/>
  <c r="F114"/>
  <c r="F33"/>
  <c r="F32"/>
  <c r="F21"/>
  <c r="F23"/>
  <c r="F20"/>
  <c r="F99"/>
  <c r="F92"/>
  <c r="G142" i="3" l="1"/>
  <c r="G16"/>
  <c r="G173"/>
  <c r="G203"/>
  <c r="G172"/>
  <c r="G148"/>
  <c r="G94"/>
  <c r="G170"/>
  <c r="G15"/>
  <c r="G95"/>
  <c r="G74"/>
  <c r="G18"/>
  <c r="G159"/>
  <c r="G204"/>
  <c r="G157"/>
  <c r="F49" i="15"/>
  <c r="G49" i="3"/>
  <c r="F90" i="15"/>
  <c r="F102"/>
  <c r="F62"/>
  <c r="F61"/>
  <c r="F27"/>
  <c r="F25"/>
  <c r="F135"/>
  <c r="F54"/>
  <c r="G42" i="3" s="1"/>
  <c r="G48" i="15"/>
  <c r="G102" i="3" l="1"/>
  <c r="G101" s="1"/>
  <c r="G140"/>
  <c r="G73"/>
  <c r="G66"/>
  <c r="G22"/>
  <c r="G20"/>
  <c r="G155"/>
  <c r="G47"/>
  <c r="G46" s="1"/>
  <c r="G79"/>
  <c r="H183" i="15" l="1"/>
  <c r="G60"/>
  <c r="H19" l="1"/>
  <c r="F142" l="1"/>
  <c r="G174" i="3" l="1"/>
  <c r="F89" i="15"/>
  <c r="F86" s="1"/>
  <c r="G139" i="3" l="1"/>
  <c r="G136" l="1"/>
  <c r="G46" i="15" l="1"/>
  <c r="G45" s="1"/>
  <c r="H34" l="1"/>
  <c r="H48" l="1"/>
  <c r="H60"/>
  <c r="H71"/>
  <c r="H175"/>
  <c r="H178"/>
  <c r="H191"/>
  <c r="H193"/>
  <c r="H196"/>
  <c r="H198"/>
  <c r="H200"/>
  <c r="H203"/>
  <c r="H202" s="1"/>
  <c r="H172" l="1"/>
  <c r="H164"/>
  <c r="H158"/>
  <c r="H143" s="1"/>
  <c r="H127"/>
  <c r="H85" s="1"/>
  <c r="H73"/>
  <c r="H10"/>
  <c r="H195"/>
  <c r="H190"/>
  <c r="G180" l="1"/>
  <c r="G206"/>
  <c r="G208"/>
  <c r="G33" i="3" l="1"/>
  <c r="G201" i="15"/>
  <c r="F201" l="1"/>
  <c r="G200"/>
  <c r="F212"/>
  <c r="G210"/>
  <c r="G205" s="1"/>
  <c r="H210"/>
  <c r="F211"/>
  <c r="F200" l="1"/>
  <c r="H208"/>
  <c r="F209"/>
  <c r="G203"/>
  <c r="G202" s="1"/>
  <c r="F204"/>
  <c r="G97" i="3" s="1"/>
  <c r="G96" s="1"/>
  <c r="F210" i="15"/>
  <c r="G123" i="3" l="1"/>
  <c r="G122" s="1"/>
  <c r="F203" i="15"/>
  <c r="F202" s="1"/>
  <c r="F208"/>
  <c r="G44" i="3" l="1"/>
  <c r="G197" i="15" l="1"/>
  <c r="F174"/>
  <c r="F171"/>
  <c r="F170"/>
  <c r="F166"/>
  <c r="G155"/>
  <c r="G144" s="1"/>
  <c r="G129"/>
  <c r="F129" s="1"/>
  <c r="F126"/>
  <c r="G84"/>
  <c r="F75"/>
  <c r="G109" i="3" s="1"/>
  <c r="G108" s="1"/>
  <c r="G167" l="1"/>
  <c r="F155" i="15"/>
  <c r="G82"/>
  <c r="F84"/>
  <c r="G193"/>
  <c r="F194"/>
  <c r="G118" i="3" s="1"/>
  <c r="G117" s="1"/>
  <c r="G196" i="15"/>
  <c r="F197"/>
  <c r="G71"/>
  <c r="F72"/>
  <c r="F71" l="1"/>
  <c r="F193"/>
  <c r="F196"/>
  <c r="G181" i="3" l="1"/>
  <c r="G126" l="1"/>
  <c r="G26" l="1"/>
  <c r="G25" l="1"/>
  <c r="F36" i="15" l="1"/>
  <c r="F35" l="1"/>
  <c r="F34" s="1"/>
  <c r="G34"/>
  <c r="H181" l="1"/>
  <c r="F199" l="1"/>
  <c r="G198"/>
  <c r="G195" s="1"/>
  <c r="F181"/>
  <c r="G83" i="3" l="1"/>
  <c r="F198" i="15"/>
  <c r="F195" s="1"/>
  <c r="G82" i="3" l="1"/>
  <c r="G81" s="1"/>
  <c r="F188" i="15"/>
  <c r="F162"/>
  <c r="F161"/>
  <c r="F149"/>
  <c r="F125"/>
  <c r="F186" l="1"/>
  <c r="F183" s="1"/>
  <c r="G178" i="3"/>
  <c r="G128"/>
  <c r="G125" s="1"/>
  <c r="G124" s="1"/>
  <c r="G167" i="15"/>
  <c r="H169"/>
  <c r="H167" s="1"/>
  <c r="H163" s="1"/>
  <c r="F128"/>
  <c r="G127"/>
  <c r="G85" s="1"/>
  <c r="F165"/>
  <c r="G164"/>
  <c r="F74"/>
  <c r="G73"/>
  <c r="G70" s="1"/>
  <c r="F101"/>
  <c r="F146"/>
  <c r="F159"/>
  <c r="G158"/>
  <c r="G143" s="1"/>
  <c r="F168"/>
  <c r="F31"/>
  <c r="F53"/>
  <c r="F52" s="1"/>
  <c r="F48" s="1"/>
  <c r="F179"/>
  <c r="G178"/>
  <c r="G177" s="1"/>
  <c r="F97"/>
  <c r="F131"/>
  <c r="G191"/>
  <c r="G190" s="1"/>
  <c r="F192"/>
  <c r="F173"/>
  <c r="G172"/>
  <c r="G32" i="3"/>
  <c r="G31" s="1"/>
  <c r="H82" i="15"/>
  <c r="H70" s="1"/>
  <c r="F83"/>
  <c r="F134"/>
  <c r="F152"/>
  <c r="F38"/>
  <c r="F60"/>
  <c r="F176"/>
  <c r="G175"/>
  <c r="F182"/>
  <c r="F95" l="1"/>
  <c r="F94" s="1"/>
  <c r="G113" i="3"/>
  <c r="G111" s="1"/>
  <c r="F144" i="15"/>
  <c r="G146" i="3"/>
  <c r="G175"/>
  <c r="G202"/>
  <c r="G72"/>
  <c r="G198"/>
  <c r="G197" s="1"/>
  <c r="G54"/>
  <c r="G63"/>
  <c r="G78"/>
  <c r="G65"/>
  <c r="G70"/>
  <c r="G69" s="1"/>
  <c r="G154"/>
  <c r="F130" i="15"/>
  <c r="G29" i="3"/>
  <c r="F37" i="15"/>
  <c r="F30"/>
  <c r="G93" i="3"/>
  <c r="G191"/>
  <c r="G189" s="1"/>
  <c r="G169"/>
  <c r="G41"/>
  <c r="G40" s="1"/>
  <c r="F82" i="15"/>
  <c r="G59" i="3"/>
  <c r="G58" s="1"/>
  <c r="F73" i="15"/>
  <c r="H180"/>
  <c r="H177" s="1"/>
  <c r="F172"/>
  <c r="F178"/>
  <c r="F158"/>
  <c r="F164"/>
  <c r="F180"/>
  <c r="F175"/>
  <c r="F40"/>
  <c r="F191"/>
  <c r="F190" s="1"/>
  <c r="G163"/>
  <c r="F127"/>
  <c r="F85" s="1"/>
  <c r="F169"/>
  <c r="G144" i="3" l="1"/>
  <c r="F177" i="15"/>
  <c r="F70"/>
  <c r="G110" i="3"/>
  <c r="G107" s="1"/>
  <c r="G201"/>
  <c r="G200" s="1"/>
  <c r="G92"/>
  <c r="G62"/>
  <c r="G77"/>
  <c r="G76" s="1"/>
  <c r="G168"/>
  <c r="G53"/>
  <c r="G55"/>
  <c r="G64"/>
  <c r="G36"/>
  <c r="G188"/>
  <c r="G28"/>
  <c r="G71"/>
  <c r="G68" s="1"/>
  <c r="F143" i="15"/>
  <c r="F167"/>
  <c r="F163" s="1"/>
  <c r="G91" i="3" l="1"/>
  <c r="G60"/>
  <c r="G52"/>
  <c r="G180"/>
  <c r="G135" s="1"/>
  <c r="G134" s="1"/>
  <c r="F13" i="15"/>
  <c r="F17"/>
  <c r="G88" i="3" s="1"/>
  <c r="G13" l="1"/>
  <c r="F26" i="15"/>
  <c r="G21" i="3" l="1"/>
  <c r="F24" i="15"/>
  <c r="F19" l="1"/>
  <c r="G19" i="3"/>
  <c r="F15" i="15"/>
  <c r="F14" s="1"/>
  <c r="F12"/>
  <c r="G10" l="1"/>
  <c r="G86" i="3"/>
  <c r="G14"/>
  <c r="G12"/>
  <c r="F11" i="15"/>
  <c r="G9" l="1"/>
  <c r="G85" i="3"/>
  <c r="G84" s="1"/>
  <c r="G11"/>
  <c r="G10" s="1"/>
  <c r="G9" s="1"/>
  <c r="F10" i="15"/>
  <c r="F47"/>
  <c r="H46"/>
  <c r="H45" s="1"/>
  <c r="F46" l="1"/>
  <c r="G100" i="3"/>
  <c r="F45" i="15" l="1"/>
  <c r="G99" i="3"/>
  <c r="G98" s="1"/>
  <c r="H206" i="15"/>
  <c r="H205" s="1"/>
  <c r="F207"/>
  <c r="H9" l="1"/>
  <c r="F206"/>
  <c r="F205" l="1"/>
  <c r="F9" s="1"/>
  <c r="G121" i="3" l="1"/>
  <c r="G120" s="1"/>
  <c r="G119" s="1"/>
  <c r="G90" l="1"/>
  <c r="G206" s="1"/>
  <c r="G208" s="1"/>
  <c r="C10" i="24"/>
  <c r="C8" s="1"/>
  <c r="C14" s="1"/>
</calcChain>
</file>

<file path=xl/comments1.xml><?xml version="1.0" encoding="utf-8"?>
<comments xmlns="http://schemas.openxmlformats.org/spreadsheetml/2006/main">
  <authors>
    <author>Автор</author>
  </authors>
  <commentLis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(1000 глава)
+1000 глава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(300 глава)
-40 т.руб. мат. Помощь Османову М.Г. и Османовой П.Г. по 20 т.руб.
-100 (52 мо кудутль, 48 МР для граждан)
-30 для отдела ЧС
-20 могох
-80 кикуни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(200 на штат еддс, глава)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+40 т.руб. мат. Помощь Османову М.Г. и Османовой П.Г. по 20 т.руб.
+48 из рез.фон. Для граждан
+30 из рез.фонда для отдела ЧС
+20 могох
+80 кикуни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(300-50 антикор.прогр. 250 безоп. Район. Глава)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+100 из 1403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+315 гергебиль комфортная среда</t>
        </r>
      </text>
    </comment>
    <comment ref="H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(солнышко-200, улыбка-250, ромашка-150, малыш-100, пикачу-50, нур-100, теремок-20, чебурашка-20, радуга-20, ласточка-20, дюймовочка-20, чалда-10)</t>
        </r>
      </text>
    </comment>
    <comment ref="H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(солнышко-400, улыбка-150, ромашка-150, малыш-100, пикачу-50, нур-100, теремок-20, чебурашка-20, радуга-20, ласточка-20, дюймовочка-20, чалда-10)</t>
        </r>
      </text>
    </comment>
    <comment ref="G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+(400малыш, 400ромашка, 400улыбка, 500нур, (33 по 3 тыс. всем садикам),глава), (100 малыш, 500 прочие, 50 улыбка)
-430 из прочих 500
+(150солнышко, 150теремок, 130радуга) из прочих 500
(-30 из 500прочих, +30 солнышко из 500 прочих)
остаток 40 прочие
-500 Нур
(+30 солнышко, +30 малыш, +30 улыбка, +30 ромашка, +30 нур)-медкабинеты 
+100 кудутль садик, +50 пикачо, +50 радуга
+300 прочие
-100 из прочих +100 теремок
+150 ромашка
+150 улыбка
+70 нур
+34,98 дюймовочка
+200 прочие
-200 прочие
+100 теремок из прочих
+100 солнышко из прочих
+50 дюймовочка
+(41,05- пикачу, 44,881- чебурашка, 70,35-улыбка, 44,64-нур) родсбор
+62,1 родсбор дюймовочка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+(200маали, 200гсш1, 200гсш2, 100аймаки, 150кикуни, 450мурада, 500 всем школам по 50 на эл.дневник, 39 всем школам по 3 тыс.руб.на сайт. Глава)
300 резерв, (130 АСШ, 300 ГСШ1, 100 ГСШ2, 200 Мурада СШ, 500 прочие+50 тунзи ош)
-450 из прочих 500
+(150аймаки сш, 150 гсш2, 150мурада сш) из прочих 500
(-30 из 500прочих, +30 Аймаки СОШ из 500 прочих)
остаток 20 прочие
(+30 ГСШ1, +30 ГСШ2, +30 Кикуни сш, +30 аймаки сш) медкабинеты
+100 ГСШ1, +100 чалда сош, +100 аймаки сош, +100 могох сош
+200 маали сш
+200 гсш1, +300 прочие
+200 прочие
-200 прочие, +100 маали сош, +100 чалда сош
+50 гсш1
</t>
        </r>
      </text>
    </comment>
    <comment ref="G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+150 ГДЮСШ
+80 ГДЮСШ
+250 ГДЮСШ</t>
        </r>
      </text>
    </comment>
    <comment ref="G1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-20 на софинансирование </t>
        </r>
      </text>
    </comment>
    <comment ref="G1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+(200 глава)+300 глава
+200 глава</t>
        </r>
      </text>
    </comment>
    <comment ref="G1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+50 глава</t>
        </r>
      </text>
    </comment>
    <comment ref="G1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+430 глава
+55 глава день учителя</t>
        </r>
      </text>
    </comment>
    <comment ref="G1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(250 подвод. Глава)</t>
        </r>
      </text>
    </comment>
    <comment ref="G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(300 одаренные дети глава)
+50 </t>
        </r>
      </text>
    </comment>
    <comment ref="G1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+300 глава
+350 глава</t>
        </r>
      </text>
    </comment>
    <comment ref="G20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+100 могох
+100 маали
+135 чалда
+108 могох
+300 курми
+50 курми </t>
        </r>
      </text>
    </comment>
    <comment ref="G2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+(500хвартикуни, 2500гергебиль, 400кикуни, глава)
(2200 гергебиль, 300 курми, 100 мурада+100 могох)
-100 могох
+215 гергебиль комфортная среда, 15 гергебиль дороги, 100 гергебиль комфортная среда, 26 кикуни дороги, 13 кудутль дороги
-315 гергебиль комфортная среда 
+52 из резервного фонда
-6700 на ЖКХ по кодам </t>
        </r>
      </text>
    </comment>
  </commentList>
</comments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<sst xmlns="http://schemas.openxmlformats.org/spreadsheetml/2006/main" count="1201" uniqueCount="365">
  <si>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</si>
  <si>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</si>
  <si>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</si>
  <si>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</si>
  <si>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</si>
  <si>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</si>
  <si>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</si>
  <si>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</si>
  <si>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</si>
  <si>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</si>
  <si>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</si>
  <si>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</si>
  <si>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</si>
  <si>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</si>
  <si>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</si>
  <si>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</si>
  <si>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</si>
  <si>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</si>
  <si>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</si>
  <si>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</si>
  <si>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</si>
  <si>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</si>
  <si>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</si>
  <si>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</si>
  <si>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</si>
  <si>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</si>
  <si>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</si>
  <si>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</si>
  <si>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</si>
  <si>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</si>
  <si>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</si>
  <si>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</si>
  <si>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</si>
  <si>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</si>
  <si>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</si>
  <si>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</si>
  <si>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</si>
  <si>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</si>
  <si>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</si>
  <si>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</si>
  <si>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</si>
  <si>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</si>
  <si>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</si>
  <si>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</si>
  <si>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</si>
  <si>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</si>
  <si>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</si>
  <si>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</si>
  <si>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</si>
  <si>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</si>
  <si>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</si>
  <si>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</si>
  <si>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</si>
  <si>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</si>
  <si>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</si>
  <si>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</si>
  <si>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</si>
  <si>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</si>
  <si>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</si>
  <si>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</si>
  <si>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</si>
  <si>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</si>
  <si>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</si>
  <si>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</si>
  <si>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</si>
  <si>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</si>
  <si>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</si>
  <si>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</si>
  <si>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</si>
  <si>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</si>
  <si>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</si>
  <si>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</si>
  <si>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</si>
  <si>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</si>
  <si>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</si>
  <si>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</si>
  <si>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</si>
  <si>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</si>
  <si>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</si>
  <si>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</si>
  <si>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</si>
  <si>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</si>
  <si>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</si>
  <si>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</si>
  <si>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</si>
  <si>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</si>
  <si>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</si>
  <si>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</si>
  <si>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 xml:space="preserve">                                                                                                                                                                  Приложение 3</t>
  </si>
  <si>
    <t>03</t>
  </si>
  <si>
    <t>Финансовое управление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</si>
  <si>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</si>
  <si>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</si>
  <si>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</si>
  <si>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</si>
  <si>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</si>
  <si>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</si>
  <si>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</si>
  <si>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</si>
  <si>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</si>
  <si>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</si>
  <si>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</si>
  <si>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</si>
  <si>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</si>
  <si>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</si>
  <si>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</si>
  <si>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</si>
  <si>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</si>
  <si>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</si>
  <si>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</si>
  <si>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</si>
  <si>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</si>
  <si>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</si>
  <si>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</si>
  <si>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</si>
  <si>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</si>
  <si>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</si>
  <si>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</si>
  <si>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</si>
  <si>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</si>
  <si>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</si>
  <si>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</si>
  <si>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</si>
  <si>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</si>
  <si>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</si>
  <si>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</si>
  <si>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</si>
  <si>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</si>
  <si>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</si>
  <si>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</si>
  <si>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</si>
  <si>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</si>
  <si>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</si>
  <si>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</si>
  <si>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</si>
  <si>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</si>
  <si>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</si>
  <si>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</si>
  <si>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</si>
  <si>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</si>
  <si>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</si>
  <si>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</si>
  <si>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</si>
  <si>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</si>
  <si>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</si>
  <si>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</si>
  <si>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</si>
  <si>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</si>
  <si>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</si>
  <si>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</si>
  <si>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</si>
  <si>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</si>
  <si>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</si>
  <si>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</si>
  <si>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</si>
  <si>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</si>
  <si>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</si>
  <si>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</si>
  <si>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</si>
  <si>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</si>
  <si>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</si>
  <si>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</si>
  <si>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</si>
  <si>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</si>
  <si>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</si>
  <si>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</si>
  <si>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</si>
  <si>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</si>
  <si>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</si>
  <si>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</si>
  <si>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</si>
  <si>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</si>
  <si>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</si>
  <si>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</si>
  <si>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</si>
  <si>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</si>
  <si>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</si>
  <si>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</si>
  <si>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>Муниципальная программа "Безопасный район"</t>
  </si>
  <si>
    <t xml:space="preserve">                                                                                                                                                                  Приложение 7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</si>
  <si>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</si>
  <si>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</si>
  <si>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</si>
  <si>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</si>
  <si>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</si>
  <si>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</si>
  <si>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</si>
  <si>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</si>
  <si>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</si>
  <si>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</si>
  <si>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</si>
  <si>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</si>
  <si>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</si>
  <si>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</si>
  <si>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</si>
  <si>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</si>
  <si>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</si>
  <si>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             Приложение 5</t>
  </si>
  <si>
    <t>Расходы, осуществляемые за счет  Субвенции местным бюджетам из бюджета субъекта РФ и фонда софинансирования</t>
  </si>
  <si>
    <t xml:space="preserve">Переданные
полномочия
</t>
  </si>
  <si>
    <t>Районное собрание депутатов МР "Гергебильский район"</t>
  </si>
  <si>
    <t>000 01 03 00 00 00 0000 000</t>
  </si>
  <si>
    <t xml:space="preserve">Бюджетные кредиты от других бюджетов бюджетной системы Российской Федерации                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</si>
  <si>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</si>
  <si>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</si>
  <si>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</si>
  <si>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                          </t>
  </si>
  <si>
    <t>Дорожный фонд</t>
  </si>
  <si>
    <t xml:space="preserve">                                                                                                                                                                  Приложение 1</t>
  </si>
  <si>
    <t>Код дохода</t>
  </si>
  <si>
    <t>Документ, учреждение</t>
  </si>
  <si>
    <t>Сумма на 2013 год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</si>
  <si>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</si>
  <si>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</si>
  <si>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</si>
  <si>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</si>
  <si>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</si>
  <si>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</si>
  <si>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1050200002</t>
  </si>
  <si>
    <t>0000</t>
  </si>
  <si>
    <t xml:space="preserve">    Единый налог на вмененный доход для отдельных видов деятельности</t>
  </si>
  <si>
    <t>1050301001</t>
  </si>
  <si>
    <t xml:space="preserve">    Единый сельскохозяйственный налог</t>
  </si>
  <si>
    <t>1080301001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</si>
  <si>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</si>
  <si>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</si>
  <si>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120</t>
  </si>
  <si>
    <t>140</t>
  </si>
  <si>
    <t>1170505005</t>
  </si>
  <si>
    <t>180</t>
  </si>
  <si>
    <t>Прочие неналоговые доходы бюджетов муниципальных районов</t>
  </si>
  <si>
    <t xml:space="preserve">    Дотации бюджетам муниципальных районов на выравнивание бюджетной обеспеченности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</si>
  <si>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</si>
  <si>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</si>
  <si>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2020300705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</si>
  <si>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</si>
  <si>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</si>
  <si>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2020302705</t>
  </si>
  <si>
    <t>2020302905</t>
  </si>
  <si>
    <t>ИТОГО</t>
  </si>
  <si>
    <t>150</t>
  </si>
  <si>
    <t>Межбюджетные трансферты на финансовое обеспечение дорожной деятельности</t>
  </si>
  <si>
    <t>Субсидии на поддержку муниципальных программ формирования современной городской среды</t>
  </si>
  <si>
    <t>460F255550</t>
  </si>
  <si>
    <t>Субсидии на реализацию проектов инициатив муниципальных образований РД (150 школ")</t>
  </si>
  <si>
    <t>9990041120</t>
  </si>
  <si>
    <t>20209R5193</t>
  </si>
  <si>
    <t>Подключение библиотек к сети интернет</t>
  </si>
  <si>
    <t>Подключение библиотек к системе интернет</t>
  </si>
  <si>
    <t>2022551905</t>
  </si>
  <si>
    <t>Мероприятия в области коммунального хозяйства</t>
  </si>
  <si>
    <t>Уличное освещение</t>
  </si>
  <si>
    <t>Вывоз и ликвидация бытовых отходов</t>
  </si>
  <si>
    <t>Прочие мероприятия в области благоустройства</t>
  </si>
  <si>
    <t>994002601Л</t>
  </si>
  <si>
    <t>994002605Л</t>
  </si>
  <si>
    <t>994002606Л</t>
  </si>
  <si>
    <t>993</t>
  </si>
  <si>
    <t>Мероприятия в области КХ</t>
  </si>
  <si>
    <t>Содержание и ремонт автомобильных дорог</t>
  </si>
  <si>
    <t>повышение квалификации м/с</t>
  </si>
  <si>
    <t>2022004105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</si>
  <si>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</si>
  <si>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на финансовое обеспечение дорожной деятельности</t>
  </si>
  <si>
    <t xml:space="preserve">                                                                                                                                                                  Приложение 4</t>
  </si>
  <si>
    <t>Наименование расходов</t>
  </si>
  <si>
    <t>код цели</t>
  </si>
  <si>
    <t>Субвенции бюджетам муниципальных районов на выполнение передаваемых полномочий субъектов Российской Федерации (Госстандарт ДДУ)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</si>
  <si>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</si>
  <si>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</si>
  <si>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итого</t>
  </si>
  <si>
    <t>19-370</t>
  </si>
  <si>
    <t>Субвенции бюджетам муниципальных районов на государственную регистрацию актов гражданского состояния</t>
  </si>
  <si>
    <t>19-783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</si>
  <si>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</si>
  <si>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 (административная комиссия)</t>
  </si>
  <si>
    <t>Прочие субсидии бюджетам муниципальных районов (150 школ)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</si>
  <si>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</si>
  <si>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</si>
  <si>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</si>
  <si>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</si>
  <si>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</si>
  <si>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</si>
  <si>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</si>
  <si>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</si>
  <si>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1030226101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</si>
  <si>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</si>
  <si>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</si>
  <si>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</si>
  <si>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</si>
  <si>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1050101101</t>
  </si>
  <si>
    <t>1050102101</t>
  </si>
  <si>
    <t>1050105001</t>
  </si>
  <si>
    <t>Земельный налог (по обязательствам, возникшим до1 января 2006 года), мобилизуемый на межселенных территориях</t>
  </si>
  <si>
    <t>1090405305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</si>
  <si>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</si>
  <si>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</si>
  <si>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1120104101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</si>
  <si>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</si>
  <si>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</si>
  <si>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1140205205</t>
  </si>
  <si>
    <t>1170105005</t>
  </si>
  <si>
    <t>Невыясненные поступления, зачисляемые в бюджеты муниципальных районов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</si>
  <si>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</si>
  <si>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2022999905</t>
  </si>
  <si>
    <t>Субсидия бюджетам муниципальных районов на поддержку отрасли культуры</t>
  </si>
  <si>
    <t>Прочие субсидии бюджетам муниципальных районов (разовое питание)</t>
  </si>
  <si>
    <t>2022555505</t>
  </si>
  <si>
    <t>2023999905</t>
  </si>
  <si>
    <t>Прочие субвенции бюджетам муниципальных районов</t>
  </si>
  <si>
    <t>2186001005</t>
  </si>
  <si>
    <t>2196001005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</si>
  <si>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</si>
  <si>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</si>
  <si>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доходов бюджета на 2020год  по кодам экономической классификации</t>
  </si>
  <si>
    <t>Сумма на 2020год</t>
  </si>
  <si>
    <t>2021500105</t>
  </si>
  <si>
    <t>2021999905</t>
  </si>
  <si>
    <t>2024516005</t>
  </si>
  <si>
    <t>Межбюджетные трансферты, передаваемые бюджетам муниципальных районов для компесации допольнителных расходов</t>
  </si>
  <si>
    <t>2023002405</t>
  </si>
  <si>
    <t>Субвенции бюджетам муниципальных районов на содержание ребёнка в семье опекунов и приемной семье, а также вознаграждение причитающиеся приёмному родителю</t>
  </si>
  <si>
    <t>2023002705</t>
  </si>
  <si>
    <t>2023002905</t>
  </si>
  <si>
    <t>2023511805</t>
  </si>
  <si>
    <t>2023526005</t>
  </si>
  <si>
    <t xml:space="preserve"> Субвенции бюджетам муниципальных районов на ежемесячное денежное вознограждение за классное руководство педагогическим работникам государственных и муниципальных образовательных организаций</t>
  </si>
  <si>
    <t>2023530305</t>
  </si>
  <si>
    <t>2025330405</t>
  </si>
  <si>
    <t>Прочие субсидии бюджетам муниципальных районов на организацию бесплатного горячего питания обучающихся, получающие начальное общее образование в государственных и  муниципальных образовательных организациях.</t>
  </si>
  <si>
    <t>1110503505</t>
  </si>
  <si>
    <t xml:space="preserve">Доходы от сдачи имущества, </t>
  </si>
  <si>
    <t>1160107301</t>
  </si>
  <si>
    <t>1160113301</t>
  </si>
  <si>
    <t xml:space="preserve">Административные штрафы, установленные главой 13 кодекса РФ об административных правонарушениях </t>
  </si>
  <si>
    <t>Административные штрафы, установленные главой 7 кодекса РФ об административных правонарушениях ,в области связи и информации налогаемых мировыми судьями комиссии по делам несовершенолетних и защите их прав. комиссии по делам несовершенолетних и защите их прав.</t>
  </si>
  <si>
    <t xml:space="preserve">Административные штрафы, установленные главой 19 кодекса РФ об административных правонарушениях </t>
  </si>
  <si>
    <t>1160119301</t>
  </si>
  <si>
    <t xml:space="preserve">Административные штрафы, установленные главой 20 кодекса РФ об административных правонарушениях </t>
  </si>
  <si>
    <t>1160120301</t>
  </si>
  <si>
    <t>1161012301</t>
  </si>
  <si>
    <t>Доходы от денежных взысканий (штрафы) поступающие в счёт погащения задолженности образовавщейся до 1 января 2020года подлежащие зачислению в бюджет МО по нормативам, действовавщим в 2019 году</t>
  </si>
  <si>
    <t>1161012901</t>
  </si>
  <si>
    <t>Доходы от денежных взысканий (штрафы) поступающие в счёт погащения задолженности образовавщейся до 1 января 2020года подлежащие зачислению в Федеральный бюджет  по нормативам, действовавщим в 2019 году</t>
  </si>
  <si>
    <t>1120101001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</si>
  <si>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 на представление жилых помещений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</si>
  <si>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2020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</si>
  <si>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2020 год</t>
  </si>
  <si>
    <t xml:space="preserve">ИСТОЧНИКИ
ВНУТРЕННЕГО ФИНАНСИРОВАНИЯ ДЕФИЦИТА БЮДЖЕТА
МУНИЦИПАЛЬНОГО ОБРАЗОВАНИЯ ГЕРГЕБИЛЬСКОГО РАЙОНА НА 2020 ГОД
</t>
  </si>
  <si>
    <t>Распределение   межбюджетных трансфертов бюджетам муниципальных образований - сельских поселений Гергебильского района на 2020 год</t>
  </si>
  <si>
    <t>994003491Э</t>
  </si>
  <si>
    <t>Субсидии бюджетам муниципальных районов на совершенствование организации питания учащихся с ОВЗ</t>
  </si>
  <si>
    <t>Субвенции на классное руководство</t>
  </si>
  <si>
    <t>19202R3030</t>
  </si>
  <si>
    <t>Субсидии на горячее питание (федеральное)</t>
  </si>
  <si>
    <t>19202R3040</t>
  </si>
  <si>
    <t>Прочие 
дотации</t>
  </si>
  <si>
    <t>Прочие 
дотации
софинансирование дорожного фонда</t>
  </si>
  <si>
    <t>Прочие 
дотации ГО и ЧС</t>
  </si>
  <si>
    <t>Прочие 
субсидии на межевание</t>
  </si>
  <si>
    <t>Республиканский
дорожный фонд</t>
  </si>
  <si>
    <t>Прочие расходы</t>
  </si>
  <si>
    <t>Субвенция на организацию обеспечения питанием учащихся муниципальных общеобразовательных учреждений (ОВЗ)</t>
  </si>
  <si>
    <t>от 27.04.2021 №01-33/51</t>
  </si>
  <si>
    <t>от 27.04.2021г. №01-33-51</t>
  </si>
</sst>
</file>

<file path=xl/styles.xml><?xml version="1.0" encoding="utf-8"?>
<styleSheet xmlns="http://schemas.openxmlformats.org/spreadsheetml/2006/main">
  <numFmts count="7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  <numFmt numFmtId="170" formatCode="#,##0.0_р_."/>
  </numFmts>
  <fonts count="5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30" applyNumberFormat="0" applyAlignment="0" applyProtection="0"/>
    <xf numFmtId="0" fontId="28" fillId="6" borderId="31" applyNumberFormat="0" applyAlignment="0" applyProtection="0"/>
    <xf numFmtId="0" fontId="29" fillId="6" borderId="30" applyNumberFormat="0" applyAlignment="0" applyProtection="0"/>
    <xf numFmtId="0" fontId="30" fillId="0" borderId="32" applyNumberFormat="0" applyFill="0" applyAlignment="0" applyProtection="0"/>
    <xf numFmtId="0" fontId="31" fillId="7" borderId="33" applyNumberFormat="0" applyAlignment="0" applyProtection="0"/>
    <xf numFmtId="0" fontId="32" fillId="0" borderId="0" applyNumberFormat="0" applyFill="0" applyBorder="0" applyAlignment="0" applyProtection="0"/>
    <xf numFmtId="0" fontId="19" fillId="8" borderId="3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35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  <xf numFmtId="0" fontId="46" fillId="0" borderId="0"/>
  </cellStyleXfs>
  <cellXfs count="430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0" xfId="1" applyNumberFormat="1" applyFont="1" applyFill="1" applyBorder="1" applyAlignment="1" applyProtection="1">
      <alignment wrapText="1"/>
      <protection hidden="1"/>
    </xf>
    <xf numFmtId="164" fontId="4" fillId="0" borderId="21" xfId="1" applyNumberFormat="1" applyFont="1" applyFill="1" applyBorder="1" applyAlignment="1" applyProtection="1">
      <protection hidden="1"/>
    </xf>
    <xf numFmtId="166" fontId="4" fillId="0" borderId="21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0" fillId="0" borderId="0" xfId="0"/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center"/>
      <protection hidden="1"/>
    </xf>
    <xf numFmtId="168" fontId="2" fillId="33" borderId="5" xfId="1" applyNumberFormat="1" applyFont="1" applyFill="1" applyBorder="1" applyAlignment="1">
      <alignment horizontal="center"/>
    </xf>
    <xf numFmtId="168" fontId="11" fillId="33" borderId="10" xfId="1" applyNumberFormat="1" applyFont="1" applyFill="1" applyBorder="1" applyAlignment="1" applyProtection="1">
      <alignment horizontal="center"/>
      <protection hidden="1"/>
    </xf>
    <xf numFmtId="168" fontId="11" fillId="33" borderId="10" xfId="1" applyNumberFormat="1" applyFont="1" applyFill="1" applyBorder="1" applyAlignment="1">
      <alignment horizontal="center"/>
    </xf>
    <xf numFmtId="168" fontId="11" fillId="33" borderId="5" xfId="1" applyNumberFormat="1" applyFont="1" applyFill="1" applyBorder="1" applyAlignment="1" applyProtection="1">
      <alignment horizontal="center"/>
      <protection hidden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right"/>
      <protection hidden="1"/>
    </xf>
    <xf numFmtId="168" fontId="2" fillId="33" borderId="5" xfId="1" applyNumberFormat="1" applyFont="1" applyFill="1" applyBorder="1" applyAlignment="1">
      <alignment horizontal="right"/>
    </xf>
    <xf numFmtId="168" fontId="11" fillId="33" borderId="10" xfId="1" applyNumberFormat="1" applyFont="1" applyFill="1" applyBorder="1" applyAlignment="1" applyProtection="1">
      <alignment horizontal="right"/>
      <protection hidden="1"/>
    </xf>
    <xf numFmtId="168" fontId="11" fillId="33" borderId="10" xfId="1" applyNumberFormat="1" applyFont="1" applyFill="1" applyBorder="1" applyAlignment="1">
      <alignment horizontal="right"/>
    </xf>
    <xf numFmtId="168" fontId="11" fillId="33" borderId="5" xfId="1" applyNumberFormat="1" applyFont="1" applyFill="1" applyBorder="1" applyAlignment="1" applyProtection="1">
      <alignment horizontal="right"/>
      <protection hidden="1"/>
    </xf>
    <xf numFmtId="168" fontId="11" fillId="33" borderId="5" xfId="1" applyNumberFormat="1" applyFont="1" applyFill="1" applyBorder="1" applyAlignment="1">
      <alignment horizontal="right"/>
    </xf>
    <xf numFmtId="168" fontId="13" fillId="33" borderId="5" xfId="1" applyNumberFormat="1" applyFont="1" applyFill="1" applyBorder="1" applyAlignment="1">
      <alignment horizontal="right"/>
    </xf>
    <xf numFmtId="168" fontId="11" fillId="33" borderId="4" xfId="1" applyNumberFormat="1" applyFont="1" applyFill="1" applyBorder="1" applyAlignment="1">
      <alignment horizontal="right"/>
    </xf>
    <xf numFmtId="168" fontId="2" fillId="33" borderId="10" xfId="1" applyNumberFormat="1" applyFont="1" applyFill="1" applyBorder="1" applyAlignment="1">
      <alignment horizontal="right"/>
    </xf>
    <xf numFmtId="168" fontId="2" fillId="33" borderId="7" xfId="1" applyNumberFormat="1" applyFont="1" applyFill="1" applyBorder="1" applyAlignment="1">
      <alignment horizontal="right"/>
    </xf>
    <xf numFmtId="168" fontId="12" fillId="33" borderId="18" xfId="1" applyNumberFormat="1" applyFont="1" applyFill="1" applyBorder="1" applyAlignment="1">
      <alignment horizontal="right"/>
    </xf>
    <xf numFmtId="168" fontId="12" fillId="33" borderId="5" xfId="1" applyNumberFormat="1" applyFont="1" applyFill="1" applyBorder="1" applyAlignment="1" applyProtection="1">
      <alignment horizontal="right"/>
      <protection hidden="1"/>
    </xf>
    <xf numFmtId="168" fontId="12" fillId="33" borderId="5" xfId="1" applyNumberFormat="1" applyFont="1" applyFill="1" applyBorder="1" applyAlignment="1">
      <alignment horizontal="right"/>
    </xf>
    <xf numFmtId="168" fontId="11" fillId="33" borderId="0" xfId="1" applyNumberFormat="1" applyFont="1" applyFill="1" applyBorder="1" applyAlignment="1">
      <alignment horizontal="right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2" fillId="33" borderId="4" xfId="1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4" fillId="0" borderId="4" xfId="0" applyFont="1" applyBorder="1"/>
    <xf numFmtId="0" fontId="34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168" fontId="11" fillId="33" borderId="18" xfId="1" applyNumberFormat="1" applyFont="1" applyFill="1" applyBorder="1" applyAlignment="1">
      <alignment horizontal="center"/>
    </xf>
    <xf numFmtId="168" fontId="2" fillId="33" borderId="18" xfId="1" applyNumberFormat="1" applyFont="1" applyFill="1" applyBorder="1" applyAlignment="1" applyProtection="1">
      <alignment horizontal="center"/>
      <protection hidden="1"/>
    </xf>
    <xf numFmtId="164" fontId="4" fillId="0" borderId="37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3" xfId="1" applyNumberFormat="1" applyFont="1" applyFill="1" applyBorder="1" applyAlignment="1" applyProtection="1">
      <alignment wrapText="1"/>
      <protection hidden="1"/>
    </xf>
    <xf numFmtId="0" fontId="0" fillId="0" borderId="0" xfId="0" applyFont="1"/>
    <xf numFmtId="168" fontId="2" fillId="33" borderId="18" xfId="1" applyNumberFormat="1" applyFont="1" applyFill="1" applyBorder="1" applyAlignment="1">
      <alignment horizontal="right"/>
    </xf>
    <xf numFmtId="167" fontId="9" fillId="0" borderId="24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0" fillId="0" borderId="0" xfId="0" applyNumberFormat="1" applyFill="1"/>
    <xf numFmtId="0" fontId="8" fillId="0" borderId="14" xfId="0" applyFont="1" applyFill="1" applyBorder="1" applyAlignment="1">
      <alignment horizontal="left" vertical="top" wrapText="1"/>
    </xf>
    <xf numFmtId="168" fontId="13" fillId="33" borderId="5" xfId="1" applyNumberFormat="1" applyFont="1" applyFill="1" applyBorder="1" applyAlignment="1" applyProtection="1">
      <alignment horizontal="right"/>
      <protection hidden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3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4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1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3" borderId="39" xfId="1" applyNumberFormat="1" applyFont="1" applyFill="1" applyBorder="1" applyAlignment="1" applyProtection="1">
      <alignment horizontal="center"/>
      <protection hidden="1"/>
    </xf>
    <xf numFmtId="168" fontId="11" fillId="33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7" fillId="0" borderId="40" xfId="1" applyNumberFormat="1" applyFont="1" applyFill="1" applyBorder="1" applyAlignment="1" applyProtection="1">
      <alignment horizontal="centerContinuous"/>
      <protection hidden="1"/>
    </xf>
    <xf numFmtId="0" fontId="7" fillId="33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1" xfId="1" applyNumberFormat="1" applyFont="1" applyFill="1" applyBorder="1" applyAlignment="1" applyProtection="1">
      <alignment horizontal="centerContinuous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8" fontId="12" fillId="33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2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3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3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3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3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0" fontId="17" fillId="0" borderId="23" xfId="0" applyFont="1" applyFill="1" applyBorder="1" applyAlignment="1">
      <alignment horizontal="center"/>
    </xf>
    <xf numFmtId="168" fontId="42" fillId="0" borderId="4" xfId="0" applyNumberFormat="1" applyFont="1" applyFill="1" applyBorder="1" applyAlignment="1">
      <alignment horizontal="center"/>
    </xf>
    <xf numFmtId="0" fontId="39" fillId="0" borderId="23" xfId="0" applyFont="1" applyFill="1" applyBorder="1"/>
    <xf numFmtId="168" fontId="39" fillId="0" borderId="48" xfId="0" applyNumberFormat="1" applyFont="1" applyFill="1" applyBorder="1" applyAlignment="1">
      <alignment horizontal="center"/>
    </xf>
    <xf numFmtId="164" fontId="3" fillId="0" borderId="50" xfId="1" applyNumberFormat="1" applyFont="1" applyFill="1" applyBorder="1" applyAlignment="1" applyProtection="1">
      <protection hidden="1"/>
    </xf>
    <xf numFmtId="165" fontId="3" fillId="0" borderId="50" xfId="1" applyNumberFormat="1" applyFont="1" applyFill="1" applyBorder="1" applyAlignment="1" applyProtection="1">
      <protection hidden="1"/>
    </xf>
    <xf numFmtId="167" fontId="9" fillId="0" borderId="24" xfId="1" applyNumberFormat="1" applyFont="1" applyFill="1" applyBorder="1" applyAlignment="1" applyProtection="1">
      <alignment wrapText="1"/>
      <protection hidden="1"/>
    </xf>
    <xf numFmtId="168" fontId="2" fillId="33" borderId="49" xfId="1" applyNumberFormat="1" applyFont="1" applyFill="1" applyBorder="1" applyAlignment="1" applyProtection="1">
      <alignment horizontal="center"/>
      <protection hidden="1"/>
    </xf>
    <xf numFmtId="167" fontId="9" fillId="0" borderId="54" xfId="1" applyNumberFormat="1" applyFont="1" applyFill="1" applyBorder="1" applyAlignment="1" applyProtection="1">
      <alignment wrapText="1"/>
      <protection hidden="1"/>
    </xf>
    <xf numFmtId="168" fontId="2" fillId="33" borderId="51" xfId="1" applyNumberFormat="1" applyFont="1" applyFill="1" applyBorder="1" applyAlignment="1" applyProtection="1">
      <alignment horizontal="center"/>
      <protection hidden="1"/>
    </xf>
    <xf numFmtId="168" fontId="11" fillId="33" borderId="53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3" borderId="49" xfId="1" applyNumberFormat="1" applyFont="1" applyFill="1" applyBorder="1" applyAlignment="1" applyProtection="1">
      <alignment horizontal="center"/>
      <protection hidden="1"/>
    </xf>
    <xf numFmtId="0" fontId="15" fillId="0" borderId="52" xfId="0" applyFont="1" applyFill="1" applyBorder="1" applyAlignment="1">
      <alignment horizontal="left" vertical="top" wrapText="1"/>
    </xf>
    <xf numFmtId="49" fontId="8" fillId="0" borderId="21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4" xfId="2" applyNumberFormat="1" applyFont="1" applyFill="1" applyBorder="1" applyAlignment="1" applyProtection="1">
      <alignment wrapText="1"/>
      <protection hidden="1"/>
    </xf>
    <xf numFmtId="49" fontId="9" fillId="0" borderId="50" xfId="2" applyNumberFormat="1" applyFont="1" applyFill="1" applyBorder="1" applyAlignment="1" applyProtection="1">
      <alignment wrapText="1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165" fontId="3" fillId="0" borderId="18" xfId="2" applyNumberFormat="1" applyFont="1" applyFill="1" applyBorder="1" applyAlignment="1" applyProtection="1">
      <alignment wrapText="1"/>
      <protection hidden="1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5" borderId="4" xfId="1" applyNumberFormat="1" applyFont="1" applyFill="1" applyBorder="1" applyAlignment="1">
      <alignment horizontal="right"/>
    </xf>
    <xf numFmtId="168" fontId="2" fillId="35" borderId="5" xfId="1" applyNumberFormat="1" applyFont="1" applyFill="1" applyBorder="1" applyAlignment="1">
      <alignment horizontal="right"/>
    </xf>
    <xf numFmtId="168" fontId="2" fillId="35" borderId="10" xfId="1" applyNumberFormat="1" applyFont="1" applyFill="1" applyBorder="1" applyAlignment="1">
      <alignment horizontal="right"/>
    </xf>
    <xf numFmtId="166" fontId="3" fillId="0" borderId="6" xfId="2" applyNumberFormat="1" applyFont="1" applyFill="1" applyBorder="1" applyAlignment="1" applyProtection="1">
      <protection hidden="1"/>
    </xf>
    <xf numFmtId="168" fontId="2" fillId="33" borderId="7" xfId="1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46" fillId="36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49" fontId="46" fillId="36" borderId="5" xfId="0" applyNumberFormat="1" applyFont="1" applyFill="1" applyBorder="1" applyAlignment="1">
      <alignment horizontal="center" vertical="top" shrinkToFit="1"/>
    </xf>
    <xf numFmtId="49" fontId="46" fillId="36" borderId="55" xfId="0" applyNumberFormat="1" applyFont="1" applyFill="1" applyBorder="1" applyAlignment="1">
      <alignment horizontal="center" vertical="top" shrinkToFit="1"/>
    </xf>
    <xf numFmtId="49" fontId="46" fillId="36" borderId="25" xfId="0" applyNumberFormat="1" applyFont="1" applyFill="1" applyBorder="1" applyAlignment="1">
      <alignment horizontal="center" vertical="top" shrinkToFit="1"/>
    </xf>
    <xf numFmtId="0" fontId="47" fillId="36" borderId="4" xfId="0" applyFont="1" applyFill="1" applyBorder="1" applyAlignment="1">
      <alignment vertical="top" wrapText="1"/>
    </xf>
    <xf numFmtId="4" fontId="17" fillId="0" borderId="4" xfId="0" applyNumberFormat="1" applyFont="1" applyFill="1" applyBorder="1" applyAlignment="1">
      <alignment horizontal="right" vertical="top" shrinkToFit="1"/>
    </xf>
    <xf numFmtId="169" fontId="17" fillId="0" borderId="4" xfId="0" applyNumberFormat="1" applyFont="1" applyFill="1" applyBorder="1" applyAlignment="1">
      <alignment horizontal="right" vertical="top" shrinkToFit="1"/>
    </xf>
    <xf numFmtId="4" fontId="17" fillId="35" borderId="4" xfId="0" applyNumberFormat="1" applyFont="1" applyFill="1" applyBorder="1" applyAlignment="1">
      <alignment horizontal="right" vertical="top" shrinkToFit="1"/>
    </xf>
    <xf numFmtId="49" fontId="46" fillId="36" borderId="56" xfId="0" applyNumberFormat="1" applyFont="1" applyFill="1" applyBorder="1" applyAlignment="1">
      <alignment horizontal="center" vertical="top" shrinkToFit="1"/>
    </xf>
    <xf numFmtId="4" fontId="17" fillId="35" borderId="56" xfId="0" applyNumberFormat="1" applyFont="1" applyFill="1" applyBorder="1" applyAlignment="1">
      <alignment horizontal="right" vertical="top" shrinkToFit="1"/>
    </xf>
    <xf numFmtId="0" fontId="47" fillId="36" borderId="56" xfId="0" applyFont="1" applyFill="1" applyBorder="1" applyAlignment="1">
      <alignment vertical="top" wrapText="1"/>
    </xf>
    <xf numFmtId="4" fontId="17" fillId="0" borderId="57" xfId="0" applyNumberFormat="1" applyFont="1" applyFill="1" applyBorder="1" applyAlignment="1">
      <alignment horizontal="right" vertical="top" shrinkToFit="1"/>
    </xf>
    <xf numFmtId="167" fontId="8" fillId="0" borderId="12" xfId="1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protection hidden="1"/>
    </xf>
    <xf numFmtId="166" fontId="4" fillId="0" borderId="2" xfId="1" applyNumberFormat="1" applyFont="1" applyFill="1" applyBorder="1" applyAlignment="1" applyProtection="1">
      <protection hidden="1"/>
    </xf>
    <xf numFmtId="168" fontId="2" fillId="33" borderId="4" xfId="1" applyNumberFormat="1" applyFont="1" applyFill="1" applyBorder="1" applyAlignment="1" applyProtection="1">
      <alignment horizontal="right"/>
      <protection hidden="1"/>
    </xf>
    <xf numFmtId="165" fontId="4" fillId="0" borderId="2" xfId="1" applyNumberFormat="1" applyFont="1" applyFill="1" applyBorder="1" applyAlignment="1" applyProtection="1">
      <protection hidden="1"/>
    </xf>
    <xf numFmtId="166" fontId="3" fillId="0" borderId="2" xfId="2" applyNumberFormat="1" applyFont="1" applyFill="1" applyBorder="1" applyAlignment="1" applyProtection="1">
      <protection hidden="1"/>
    </xf>
    <xf numFmtId="164" fontId="4" fillId="0" borderId="2" xfId="2" applyNumberFormat="1" applyFont="1" applyFill="1" applyBorder="1" applyAlignment="1" applyProtection="1">
      <protection hidden="1"/>
    </xf>
    <xf numFmtId="164" fontId="4" fillId="0" borderId="18" xfId="2" applyNumberFormat="1" applyFont="1" applyFill="1" applyBorder="1" applyAlignment="1" applyProtection="1">
      <protection hidden="1"/>
    </xf>
    <xf numFmtId="166" fontId="4" fillId="0" borderId="2" xfId="2" applyNumberFormat="1" applyFont="1" applyFill="1" applyBorder="1" applyAlignment="1" applyProtection="1">
      <protection hidden="1"/>
    </xf>
    <xf numFmtId="165" fontId="4" fillId="0" borderId="19" xfId="1" applyNumberFormat="1" applyFont="1" applyFill="1" applyBorder="1" applyAlignment="1" applyProtection="1">
      <protection hidden="1"/>
    </xf>
    <xf numFmtId="49" fontId="9" fillId="0" borderId="6" xfId="1" applyNumberFormat="1" applyFont="1" applyFill="1" applyBorder="1" applyAlignment="1" applyProtection="1">
      <alignment wrapText="1"/>
      <protection hidden="1"/>
    </xf>
    <xf numFmtId="167" fontId="9" fillId="0" borderId="6" xfId="1" applyNumberFormat="1" applyFont="1" applyFill="1" applyBorder="1" applyAlignment="1" applyProtection="1">
      <alignment wrapText="1"/>
      <protection hidden="1"/>
    </xf>
    <xf numFmtId="49" fontId="8" fillId="0" borderId="2" xfId="1" applyNumberFormat="1" applyFont="1" applyFill="1" applyBorder="1" applyAlignment="1" applyProtection="1">
      <alignment wrapText="1"/>
      <protection hidden="1"/>
    </xf>
    <xf numFmtId="165" fontId="4" fillId="0" borderId="4" xfId="2" applyNumberFormat="1" applyFont="1" applyFill="1" applyBorder="1" applyAlignment="1" applyProtection="1">
      <alignment wrapText="1"/>
      <protection hidden="1"/>
    </xf>
    <xf numFmtId="0" fontId="48" fillId="0" borderId="0" xfId="0" applyFont="1"/>
    <xf numFmtId="0" fontId="48" fillId="0" borderId="0" xfId="0" applyFont="1" applyFill="1" applyAlignment="1">
      <alignment horizontal="right"/>
    </xf>
    <xf numFmtId="0" fontId="49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wrapText="1"/>
    </xf>
    <xf numFmtId="0" fontId="48" fillId="0" borderId="4" xfId="0" applyFont="1" applyBorder="1" applyAlignment="1">
      <alignment wrapText="1"/>
    </xf>
    <xf numFmtId="0" fontId="48" fillId="0" borderId="4" xfId="0" applyFont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2" fontId="16" fillId="0" borderId="4" xfId="0" applyNumberFormat="1" applyFont="1" applyBorder="1"/>
    <xf numFmtId="0" fontId="47" fillId="36" borderId="25" xfId="0" applyFont="1" applyFill="1" applyBorder="1" applyAlignment="1">
      <alignment vertical="top" wrapText="1"/>
    </xf>
    <xf numFmtId="49" fontId="46" fillId="36" borderId="7" xfId="0" applyNumberFormat="1" applyFont="1" applyFill="1" applyBorder="1" applyAlignment="1">
      <alignment horizontal="center" vertical="top" shrinkToFit="1"/>
    </xf>
    <xf numFmtId="49" fontId="46" fillId="36" borderId="58" xfId="0" applyNumberFormat="1" applyFont="1" applyFill="1" applyBorder="1" applyAlignment="1">
      <alignment horizontal="center" vertical="top" shrinkToFit="1"/>
    </xf>
    <xf numFmtId="49" fontId="46" fillId="36" borderId="10" xfId="0" applyNumberFormat="1" applyFont="1" applyFill="1" applyBorder="1" applyAlignment="1">
      <alignment horizontal="center" vertical="top" shrinkToFit="1"/>
    </xf>
    <xf numFmtId="49" fontId="46" fillId="36" borderId="59" xfId="0" applyNumberFormat="1" applyFont="1" applyFill="1" applyBorder="1" applyAlignment="1">
      <alignment horizontal="center" vertical="top" shrinkToFit="1"/>
    </xf>
    <xf numFmtId="49" fontId="46" fillId="36" borderId="60" xfId="0" applyNumberFormat="1" applyFont="1" applyFill="1" applyBorder="1" applyAlignment="1">
      <alignment horizontal="center" vertical="top" shrinkToFit="1"/>
    </xf>
    <xf numFmtId="164" fontId="3" fillId="0" borderId="7" xfId="1" applyNumberFormat="1" applyFont="1" applyFill="1" applyBorder="1" applyAlignment="1" applyProtection="1">
      <protection hidden="1"/>
    </xf>
    <xf numFmtId="165" fontId="3" fillId="0" borderId="7" xfId="1" applyNumberFormat="1" applyFont="1" applyFill="1" applyBorder="1" applyAlignment="1" applyProtection="1">
      <protection hidden="1"/>
    </xf>
    <xf numFmtId="167" fontId="8" fillId="0" borderId="6" xfId="1" applyNumberFormat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6" xfId="1" applyNumberFormat="1" applyFont="1" applyFill="1" applyBorder="1" applyAlignment="1" applyProtection="1">
      <protection hidden="1"/>
    </xf>
    <xf numFmtId="168" fontId="11" fillId="33" borderId="7" xfId="1" applyNumberFormat="1" applyFont="1" applyFill="1" applyBorder="1" applyAlignment="1" applyProtection="1">
      <alignment horizontal="center"/>
      <protection hidden="1"/>
    </xf>
    <xf numFmtId="49" fontId="8" fillId="0" borderId="6" xfId="1" applyNumberFormat="1" applyFont="1" applyFill="1" applyBorder="1" applyAlignment="1" applyProtection="1">
      <alignment wrapText="1"/>
      <protection hidden="1"/>
    </xf>
    <xf numFmtId="168" fontId="11" fillId="33" borderId="6" xfId="1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 applyProtection="1">
      <protection hidden="1"/>
    </xf>
    <xf numFmtId="168" fontId="2" fillId="33" borderId="7" xfId="1" applyNumberFormat="1" applyFont="1" applyFill="1" applyBorder="1" applyAlignment="1" applyProtection="1">
      <alignment horizontal="center"/>
      <protection hidden="1"/>
    </xf>
    <xf numFmtId="168" fontId="11" fillId="33" borderId="18" xfId="1" applyNumberFormat="1" applyFont="1" applyFill="1" applyBorder="1" applyAlignment="1" applyProtection="1">
      <alignment horizontal="center"/>
      <protection hidden="1"/>
    </xf>
    <xf numFmtId="166" fontId="9" fillId="0" borderId="15" xfId="3" applyNumberFormat="1" applyFont="1" applyFill="1" applyBorder="1" applyAlignment="1" applyProtection="1">
      <alignment horizontal="left" vertical="center" wrapText="1"/>
      <protection hidden="1"/>
    </xf>
    <xf numFmtId="49" fontId="9" fillId="0" borderId="2" xfId="1" applyNumberFormat="1" applyFont="1" applyFill="1" applyBorder="1" applyAlignment="1" applyProtection="1">
      <alignment wrapText="1"/>
      <protection hidden="1"/>
    </xf>
    <xf numFmtId="167" fontId="8" fillId="0" borderId="47" xfId="1" applyNumberFormat="1" applyFont="1" applyFill="1" applyBorder="1" applyAlignment="1" applyProtection="1">
      <alignment wrapText="1"/>
      <protection hidden="1"/>
    </xf>
    <xf numFmtId="167" fontId="9" fillId="0" borderId="8" xfId="1" applyNumberFormat="1" applyFont="1" applyFill="1" applyBorder="1" applyAlignment="1" applyProtection="1">
      <alignment wrapText="1"/>
      <protection hidden="1"/>
    </xf>
    <xf numFmtId="49" fontId="9" fillId="0" borderId="8" xfId="1" applyNumberFormat="1" applyFont="1" applyFill="1" applyBorder="1" applyAlignment="1" applyProtection="1">
      <alignment wrapText="1"/>
      <protection hidden="1"/>
    </xf>
    <xf numFmtId="167" fontId="8" fillId="0" borderId="12" xfId="2" applyNumberFormat="1" applyFont="1" applyFill="1" applyBorder="1" applyAlignment="1" applyProtection="1">
      <alignment wrapText="1"/>
      <protection hidden="1"/>
    </xf>
    <xf numFmtId="165" fontId="4" fillId="0" borderId="18" xfId="2" applyNumberFormat="1" applyFont="1" applyFill="1" applyBorder="1" applyAlignment="1" applyProtection="1">
      <protection hidden="1"/>
    </xf>
    <xf numFmtId="166" fontId="4" fillId="0" borderId="18" xfId="2" applyNumberFormat="1" applyFont="1" applyFill="1" applyBorder="1" applyAlignment="1" applyProtection="1">
      <protection hidden="1"/>
    </xf>
    <xf numFmtId="49" fontId="9" fillId="0" borderId="8" xfId="2" applyNumberFormat="1" applyFont="1" applyFill="1" applyBorder="1" applyAlignment="1" applyProtection="1">
      <alignment wrapText="1"/>
      <protection hidden="1"/>
    </xf>
    <xf numFmtId="164" fontId="3" fillId="0" borderId="8" xfId="2" applyNumberFormat="1" applyFont="1" applyFill="1" applyBorder="1" applyAlignment="1" applyProtection="1">
      <protection hidden="1"/>
    </xf>
    <xf numFmtId="165" fontId="3" fillId="0" borderId="8" xfId="2" applyNumberFormat="1" applyFont="1" applyFill="1" applyBorder="1" applyAlignment="1" applyProtection="1">
      <alignment wrapText="1"/>
      <protection hidden="1"/>
    </xf>
    <xf numFmtId="166" fontId="3" fillId="0" borderId="8" xfId="2" applyNumberFormat="1" applyFont="1" applyFill="1" applyBorder="1" applyAlignment="1" applyProtection="1">
      <protection hidden="1"/>
    </xf>
    <xf numFmtId="168" fontId="2" fillId="33" borderId="8" xfId="1" applyNumberFormat="1" applyFont="1" applyFill="1" applyBorder="1" applyAlignment="1">
      <alignment horizontal="center"/>
    </xf>
    <xf numFmtId="167" fontId="9" fillId="0" borderId="2" xfId="1" applyNumberFormat="1" applyFont="1" applyFill="1" applyBorder="1" applyAlignment="1" applyProtection="1">
      <alignment wrapText="1"/>
      <protection hidden="1"/>
    </xf>
    <xf numFmtId="0" fontId="9" fillId="0" borderId="2" xfId="0" applyFont="1" applyFill="1" applyBorder="1" applyAlignment="1">
      <alignment horizontal="left" vertical="top" wrapText="1"/>
    </xf>
    <xf numFmtId="165" fontId="3" fillId="0" borderId="2" xfId="2" applyNumberFormat="1" applyFont="1" applyFill="1" applyBorder="1" applyAlignment="1" applyProtection="1">
      <alignment wrapText="1"/>
      <protection hidden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 applyProtection="1">
      <alignment horizontal="centerContinuous"/>
      <protection hidden="1"/>
    </xf>
    <xf numFmtId="0" fontId="3" fillId="0" borderId="49" xfId="1" applyNumberFormat="1" applyFont="1" applyFill="1" applyBorder="1" applyAlignment="1" applyProtection="1">
      <alignment horizontal="center"/>
      <protection hidden="1"/>
    </xf>
    <xf numFmtId="49" fontId="15" fillId="0" borderId="24" xfId="1" applyNumberFormat="1" applyFont="1" applyFill="1" applyBorder="1" applyAlignment="1" applyProtection="1">
      <alignment horizontal="left"/>
      <protection hidden="1"/>
    </xf>
    <xf numFmtId="168" fontId="11" fillId="33" borderId="44" xfId="1" applyNumberFormat="1" applyFont="1" applyFill="1" applyBorder="1" applyAlignment="1" applyProtection="1">
      <alignment horizontal="center"/>
      <protection hidden="1"/>
    </xf>
    <xf numFmtId="168" fontId="11" fillId="33" borderId="61" xfId="1" applyNumberFormat="1" applyFont="1" applyFill="1" applyBorder="1" applyAlignment="1" applyProtection="1">
      <alignment horizontal="center"/>
      <protection hidden="1"/>
    </xf>
    <xf numFmtId="168" fontId="11" fillId="33" borderId="53" xfId="1" applyNumberFormat="1" applyFont="1" applyFill="1" applyBorder="1" applyAlignment="1">
      <alignment horizontal="center"/>
    </xf>
    <xf numFmtId="168" fontId="2" fillId="33" borderId="49" xfId="1" applyNumberFormat="1" applyFont="1" applyFill="1" applyBorder="1" applyAlignment="1">
      <alignment horizontal="center"/>
    </xf>
    <xf numFmtId="168" fontId="11" fillId="33" borderId="62" xfId="1" applyNumberFormat="1" applyFont="1" applyFill="1" applyBorder="1" applyAlignment="1">
      <alignment horizontal="center"/>
    </xf>
    <xf numFmtId="167" fontId="9" fillId="0" borderId="63" xfId="1" applyNumberFormat="1" applyFont="1" applyFill="1" applyBorder="1" applyAlignment="1" applyProtection="1">
      <alignment wrapText="1"/>
      <protection hidden="1"/>
    </xf>
    <xf numFmtId="49" fontId="9" fillId="0" borderId="50" xfId="1" applyNumberFormat="1" applyFont="1" applyFill="1" applyBorder="1" applyAlignment="1" applyProtection="1">
      <alignment wrapText="1"/>
      <protection hidden="1"/>
    </xf>
    <xf numFmtId="164" fontId="3" fillId="0" borderId="38" xfId="1" applyNumberFormat="1" applyFont="1" applyFill="1" applyBorder="1" applyAlignment="1" applyProtection="1">
      <protection hidden="1"/>
    </xf>
    <xf numFmtId="166" fontId="3" fillId="0" borderId="38" xfId="1" applyNumberFormat="1" applyFont="1" applyFill="1" applyBorder="1" applyAlignment="1" applyProtection="1">
      <protection hidden="1"/>
    </xf>
    <xf numFmtId="168" fontId="2" fillId="33" borderId="64" xfId="1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 applyProtection="1">
      <alignment wrapText="1"/>
      <protection hidden="1"/>
    </xf>
    <xf numFmtId="168" fontId="11" fillId="33" borderId="61" xfId="1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49" fontId="9" fillId="0" borderId="21" xfId="1" applyNumberFormat="1" applyFont="1" applyFill="1" applyBorder="1" applyAlignment="1" applyProtection="1">
      <alignment wrapText="1"/>
      <protection hidden="1"/>
    </xf>
    <xf numFmtId="164" fontId="3" fillId="0" borderId="21" xfId="1" applyNumberFormat="1" applyFont="1" applyFill="1" applyBorder="1" applyAlignment="1" applyProtection="1">
      <protection hidden="1"/>
    </xf>
    <xf numFmtId="165" fontId="3" fillId="0" borderId="21" xfId="1" applyNumberFormat="1" applyFont="1" applyFill="1" applyBorder="1" applyAlignment="1" applyProtection="1">
      <protection hidden="1"/>
    </xf>
    <xf numFmtId="166" fontId="3" fillId="0" borderId="21" xfId="1" applyNumberFormat="1" applyFont="1" applyFill="1" applyBorder="1" applyAlignment="1" applyProtection="1">
      <protection hidden="1"/>
    </xf>
    <xf numFmtId="168" fontId="2" fillId="33" borderId="53" xfId="1" applyNumberFormat="1" applyFont="1" applyFill="1" applyBorder="1" applyAlignment="1">
      <alignment horizontal="center"/>
    </xf>
    <xf numFmtId="168" fontId="37" fillId="33" borderId="49" xfId="1" applyNumberFormat="1" applyFont="1" applyFill="1" applyBorder="1" applyAlignment="1">
      <alignment horizontal="center"/>
    </xf>
    <xf numFmtId="168" fontId="11" fillId="33" borderId="49" xfId="1" applyNumberFormat="1" applyFont="1" applyFill="1" applyBorder="1" applyAlignment="1">
      <alignment horizontal="center"/>
    </xf>
    <xf numFmtId="167" fontId="9" fillId="0" borderId="47" xfId="1" applyNumberFormat="1" applyFont="1" applyFill="1" applyBorder="1" applyAlignment="1" applyProtection="1">
      <alignment wrapText="1"/>
      <protection hidden="1"/>
    </xf>
    <xf numFmtId="164" fontId="3" fillId="0" borderId="50" xfId="1" applyNumberFormat="1" applyFont="1" applyFill="1" applyBorder="1" applyAlignment="1" applyProtection="1">
      <alignment horizontal="right"/>
      <protection hidden="1"/>
    </xf>
    <xf numFmtId="166" fontId="3" fillId="0" borderId="50" xfId="1" applyNumberFormat="1" applyFont="1" applyFill="1" applyBorder="1" applyAlignment="1" applyProtection="1">
      <protection hidden="1"/>
    </xf>
    <xf numFmtId="167" fontId="9" fillId="0" borderId="65" xfId="1" applyNumberFormat="1" applyFont="1" applyFill="1" applyBorder="1" applyAlignment="1" applyProtection="1">
      <alignment wrapText="1"/>
      <protection hidden="1"/>
    </xf>
    <xf numFmtId="49" fontId="9" fillId="0" borderId="3" xfId="1" applyNumberFormat="1" applyFont="1" applyFill="1" applyBorder="1" applyAlignment="1" applyProtection="1">
      <alignment wrapText="1"/>
      <protection hidden="1"/>
    </xf>
    <xf numFmtId="164" fontId="3" fillId="0" borderId="3" xfId="1" applyNumberFormat="1" applyFont="1" applyFill="1" applyBorder="1" applyAlignment="1" applyProtection="1">
      <protection hidden="1"/>
    </xf>
    <xf numFmtId="165" fontId="3" fillId="0" borderId="3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protection hidden="1"/>
    </xf>
    <xf numFmtId="168" fontId="2" fillId="33" borderId="61" xfId="1" applyNumberFormat="1" applyFont="1" applyFill="1" applyBorder="1" applyAlignment="1" applyProtection="1">
      <alignment horizontal="center"/>
      <protection hidden="1"/>
    </xf>
    <xf numFmtId="164" fontId="4" fillId="0" borderId="65" xfId="1" applyNumberFormat="1" applyFont="1" applyFill="1" applyBorder="1" applyAlignment="1" applyProtection="1">
      <protection hidden="1"/>
    </xf>
    <xf numFmtId="165" fontId="3" fillId="0" borderId="19" xfId="1" applyNumberFormat="1" applyFont="1" applyFill="1" applyBorder="1" applyAlignment="1" applyProtection="1">
      <protection hidden="1"/>
    </xf>
    <xf numFmtId="168" fontId="2" fillId="33" borderId="51" xfId="1" applyNumberFormat="1" applyFont="1" applyFill="1" applyBorder="1" applyAlignment="1">
      <alignment horizontal="center"/>
    </xf>
    <xf numFmtId="49" fontId="8" fillId="0" borderId="21" xfId="1" applyNumberFormat="1" applyFont="1" applyFill="1" applyBorder="1" applyAlignment="1" applyProtection="1">
      <alignment wrapText="1"/>
      <protection hidden="1"/>
    </xf>
    <xf numFmtId="168" fontId="11" fillId="33" borderId="36" xfId="1" applyNumberFormat="1" applyFont="1" applyFill="1" applyBorder="1" applyAlignment="1" applyProtection="1">
      <alignment horizontal="center"/>
      <protection hidden="1"/>
    </xf>
    <xf numFmtId="168" fontId="2" fillId="33" borderId="66" xfId="1" applyNumberFormat="1" applyFont="1" applyFill="1" applyBorder="1" applyAlignment="1" applyProtection="1">
      <alignment horizontal="center"/>
      <protection hidden="1"/>
    </xf>
    <xf numFmtId="49" fontId="9" fillId="0" borderId="21" xfId="0" applyNumberFormat="1" applyFont="1" applyFill="1" applyBorder="1" applyAlignment="1">
      <alignment horizontal="left" vertical="top" wrapText="1"/>
    </xf>
    <xf numFmtId="168" fontId="11" fillId="33" borderId="62" xfId="1" applyNumberFormat="1" applyFont="1" applyFill="1" applyBorder="1" applyAlignment="1" applyProtection="1">
      <alignment horizontal="center"/>
      <protection hidden="1"/>
    </xf>
    <xf numFmtId="167" fontId="9" fillId="0" borderId="63" xfId="2" applyNumberFormat="1" applyFont="1" applyFill="1" applyBorder="1" applyAlignment="1" applyProtection="1">
      <alignment wrapText="1"/>
      <protection hidden="1"/>
    </xf>
    <xf numFmtId="49" fontId="9" fillId="0" borderId="50" xfId="0" applyNumberFormat="1" applyFont="1" applyFill="1" applyBorder="1" applyAlignment="1">
      <alignment horizontal="left" vertical="top" wrapText="1"/>
    </xf>
    <xf numFmtId="164" fontId="3" fillId="0" borderId="50" xfId="2" applyNumberFormat="1" applyFont="1" applyFill="1" applyBorder="1" applyAlignment="1" applyProtection="1">
      <protection hidden="1"/>
    </xf>
    <xf numFmtId="164" fontId="3" fillId="0" borderId="38" xfId="2" applyNumberFormat="1" applyFont="1" applyFill="1" applyBorder="1" applyAlignment="1" applyProtection="1">
      <protection hidden="1"/>
    </xf>
    <xf numFmtId="165" fontId="3" fillId="0" borderId="38" xfId="2" applyNumberFormat="1" applyFont="1" applyFill="1" applyBorder="1" applyAlignment="1" applyProtection="1">
      <protection hidden="1"/>
    </xf>
    <xf numFmtId="166" fontId="3" fillId="0" borderId="38" xfId="2" applyNumberFormat="1" applyFont="1" applyFill="1" applyBorder="1" applyAlignment="1" applyProtection="1">
      <protection hidden="1"/>
    </xf>
    <xf numFmtId="168" fontId="2" fillId="33" borderId="64" xfId="1" applyNumberFormat="1" applyFont="1" applyFill="1" applyBorder="1" applyAlignment="1" applyProtection="1">
      <alignment horizontal="center"/>
      <protection hidden="1"/>
    </xf>
    <xf numFmtId="167" fontId="8" fillId="0" borderId="20" xfId="2" applyNumberFormat="1" applyFont="1" applyFill="1" applyBorder="1" applyAlignment="1" applyProtection="1">
      <alignment wrapText="1"/>
      <protection hidden="1"/>
    </xf>
    <xf numFmtId="49" fontId="8" fillId="0" borderId="21" xfId="0" applyNumberFormat="1" applyFont="1" applyFill="1" applyBorder="1" applyAlignment="1">
      <alignment horizontal="left" vertical="top" wrapText="1"/>
    </xf>
    <xf numFmtId="164" fontId="4" fillId="0" borderId="21" xfId="2" applyNumberFormat="1" applyFont="1" applyFill="1" applyBorder="1" applyAlignment="1" applyProtection="1">
      <protection hidden="1"/>
    </xf>
    <xf numFmtId="164" fontId="4" fillId="0" borderId="17" xfId="2" applyNumberFormat="1" applyFont="1" applyFill="1" applyBorder="1" applyAlignment="1" applyProtection="1">
      <protection hidden="1"/>
    </xf>
    <xf numFmtId="165" fontId="4" fillId="0" borderId="17" xfId="2" applyNumberFormat="1" applyFont="1" applyFill="1" applyBorder="1" applyAlignment="1" applyProtection="1">
      <protection hidden="1"/>
    </xf>
    <xf numFmtId="166" fontId="4" fillId="0" borderId="17" xfId="2" applyNumberFormat="1" applyFont="1" applyFill="1" applyBorder="1" applyAlignment="1" applyProtection="1">
      <protection hidden="1"/>
    </xf>
    <xf numFmtId="0" fontId="9" fillId="0" borderId="63" xfId="0" applyFont="1" applyFill="1" applyBorder="1" applyAlignment="1">
      <alignment horizontal="left" vertical="top" wrapText="1"/>
    </xf>
    <xf numFmtId="49" fontId="8" fillId="0" borderId="50" xfId="1" applyNumberFormat="1" applyFont="1" applyFill="1" applyBorder="1" applyAlignment="1" applyProtection="1">
      <alignment wrapText="1"/>
      <protection hidden="1"/>
    </xf>
    <xf numFmtId="165" fontId="3" fillId="0" borderId="50" xfId="2" applyNumberFormat="1" applyFont="1" applyFill="1" applyBorder="1" applyAlignment="1" applyProtection="1">
      <alignment wrapText="1"/>
      <protection hidden="1"/>
    </xf>
    <xf numFmtId="167" fontId="9" fillId="0" borderId="20" xfId="2" applyNumberFormat="1" applyFont="1" applyFill="1" applyBorder="1" applyAlignment="1" applyProtection="1">
      <alignment wrapText="1"/>
      <protection hidden="1"/>
    </xf>
    <xf numFmtId="49" fontId="9" fillId="0" borderId="1" xfId="0" applyNumberFormat="1" applyFont="1" applyFill="1" applyBorder="1" applyAlignment="1">
      <alignment horizontal="left" vertical="top" wrapText="1"/>
    </xf>
    <xf numFmtId="164" fontId="3" fillId="0" borderId="21" xfId="2" applyNumberFormat="1" applyFont="1" applyFill="1" applyBorder="1" applyAlignment="1" applyProtection="1">
      <protection hidden="1"/>
    </xf>
    <xf numFmtId="164" fontId="3" fillId="0" borderId="17" xfId="2" applyNumberFormat="1" applyFont="1" applyFill="1" applyBorder="1" applyAlignment="1" applyProtection="1">
      <protection hidden="1"/>
    </xf>
    <xf numFmtId="165" fontId="3" fillId="0" borderId="17" xfId="2" applyNumberFormat="1" applyFont="1" applyFill="1" applyBorder="1" applyAlignment="1" applyProtection="1">
      <alignment wrapText="1"/>
      <protection hidden="1"/>
    </xf>
    <xf numFmtId="166" fontId="3" fillId="0" borderId="17" xfId="2" applyNumberFormat="1" applyFont="1" applyFill="1" applyBorder="1" applyAlignment="1" applyProtection="1">
      <protection hidden="1"/>
    </xf>
    <xf numFmtId="168" fontId="11" fillId="33" borderId="67" xfId="1" applyNumberFormat="1" applyFont="1" applyFill="1" applyBorder="1" applyAlignment="1" applyProtection="1">
      <alignment horizontal="center"/>
      <protection hidden="1"/>
    </xf>
    <xf numFmtId="168" fontId="2" fillId="33" borderId="62" xfId="1" applyNumberFormat="1" applyFont="1" applyFill="1" applyBorder="1" applyAlignment="1" applyProtection="1">
      <alignment horizontal="center"/>
      <protection hidden="1"/>
    </xf>
    <xf numFmtId="0" fontId="15" fillId="0" borderId="24" xfId="0" applyFont="1" applyFill="1" applyBorder="1" applyAlignment="1">
      <alignment horizontal="left" vertical="top" wrapText="1"/>
    </xf>
    <xf numFmtId="168" fontId="11" fillId="0" borderId="49" xfId="1" applyNumberFormat="1" applyFont="1" applyFill="1" applyBorder="1" applyAlignment="1">
      <alignment horizontal="center"/>
    </xf>
    <xf numFmtId="168" fontId="2" fillId="33" borderId="41" xfId="1" applyNumberFormat="1" applyFont="1" applyFill="1" applyBorder="1" applyAlignment="1">
      <alignment horizontal="center"/>
    </xf>
    <xf numFmtId="167" fontId="9" fillId="0" borderId="40" xfId="1" applyNumberFormat="1" applyFont="1" applyFill="1" applyBorder="1" applyAlignment="1" applyProtection="1">
      <alignment wrapText="1"/>
      <protection hidden="1"/>
    </xf>
    <xf numFmtId="168" fontId="2" fillId="33" borderId="66" xfId="1" applyNumberFormat="1" applyFont="1" applyFill="1" applyBorder="1" applyAlignment="1">
      <alignment horizontal="center"/>
    </xf>
    <xf numFmtId="168" fontId="11" fillId="33" borderId="66" xfId="1" applyNumberFormat="1" applyFont="1" applyFill="1" applyBorder="1" applyAlignment="1">
      <alignment horizontal="center"/>
    </xf>
    <xf numFmtId="168" fontId="11" fillId="33" borderId="64" xfId="1" applyNumberFormat="1" applyFont="1" applyFill="1" applyBorder="1" applyAlignment="1" applyProtection="1">
      <alignment horizontal="center"/>
      <protection hidden="1"/>
    </xf>
    <xf numFmtId="0" fontId="8" fillId="0" borderId="24" xfId="0" applyFont="1" applyFill="1" applyBorder="1" applyAlignment="1">
      <alignment horizontal="justify" vertical="top" wrapText="1"/>
    </xf>
    <xf numFmtId="0" fontId="9" fillId="0" borderId="24" xfId="0" applyFont="1" applyFill="1" applyBorder="1" applyAlignment="1">
      <alignment horizontal="left" vertical="top" wrapText="1"/>
    </xf>
    <xf numFmtId="49" fontId="8" fillId="0" borderId="50" xfId="2" applyNumberFormat="1" applyFont="1" applyFill="1" applyBorder="1" applyAlignment="1" applyProtection="1">
      <alignment wrapText="1"/>
      <protection hidden="1"/>
    </xf>
    <xf numFmtId="165" fontId="3" fillId="0" borderId="38" xfId="2" applyNumberFormat="1" applyFont="1" applyFill="1" applyBorder="1" applyAlignment="1" applyProtection="1">
      <alignment wrapText="1"/>
      <protection hidden="1"/>
    </xf>
    <xf numFmtId="166" fontId="9" fillId="0" borderId="20" xfId="3" applyNumberFormat="1" applyFont="1" applyFill="1" applyBorder="1" applyAlignment="1" applyProtection="1">
      <alignment horizontal="left" vertical="center" wrapText="1"/>
      <protection hidden="1"/>
    </xf>
    <xf numFmtId="168" fontId="11" fillId="0" borderId="49" xfId="1" applyNumberFormat="1" applyFont="1" applyFill="1" applyBorder="1" applyAlignment="1" applyProtection="1">
      <alignment horizontal="center"/>
      <protection hidden="1"/>
    </xf>
    <xf numFmtId="168" fontId="2" fillId="33" borderId="62" xfId="1" applyNumberFormat="1" applyFont="1" applyFill="1" applyBorder="1" applyAlignment="1">
      <alignment horizontal="center"/>
    </xf>
    <xf numFmtId="164" fontId="4" fillId="0" borderId="50" xfId="1" applyNumberFormat="1" applyFont="1" applyFill="1" applyBorder="1" applyAlignment="1" applyProtection="1">
      <protection hidden="1"/>
    </xf>
    <xf numFmtId="167" fontId="9" fillId="0" borderId="13" xfId="1" applyNumberFormat="1" applyFont="1" applyFill="1" applyBorder="1" applyAlignment="1" applyProtection="1">
      <alignment wrapText="1"/>
      <protection hidden="1"/>
    </xf>
    <xf numFmtId="168" fontId="2" fillId="33" borderId="61" xfId="1" applyNumberFormat="1" applyFont="1" applyFill="1" applyBorder="1" applyAlignment="1">
      <alignment horizontal="center"/>
    </xf>
    <xf numFmtId="168" fontId="11" fillId="33" borderId="53" xfId="1" applyNumberFormat="1" applyFont="1" applyFill="1" applyBorder="1" applyAlignment="1" applyProtection="1">
      <alignment horizontal="center"/>
      <protection hidden="1"/>
    </xf>
    <xf numFmtId="167" fontId="9" fillId="0" borderId="52" xfId="1" applyNumberFormat="1" applyFont="1" applyFill="1" applyBorder="1" applyAlignment="1" applyProtection="1">
      <alignment wrapText="1"/>
      <protection hidden="1"/>
    </xf>
    <xf numFmtId="167" fontId="8" fillId="0" borderId="54" xfId="2" applyNumberFormat="1" applyFont="1" applyFill="1" applyBorder="1" applyAlignment="1" applyProtection="1">
      <alignment wrapText="1"/>
      <protection hidden="1"/>
    </xf>
    <xf numFmtId="164" fontId="4" fillId="0" borderId="50" xfId="2" applyNumberFormat="1" applyFont="1" applyFill="1" applyBorder="1" applyAlignment="1" applyProtection="1">
      <protection hidden="1"/>
    </xf>
    <xf numFmtId="165" fontId="4" fillId="0" borderId="50" xfId="2" applyNumberFormat="1" applyFont="1" applyFill="1" applyBorder="1" applyAlignment="1" applyProtection="1">
      <protection hidden="1"/>
    </xf>
    <xf numFmtId="166" fontId="4" fillId="0" borderId="50" xfId="2" applyNumberFormat="1" applyFont="1" applyFill="1" applyBorder="1" applyAlignment="1" applyProtection="1">
      <protection hidden="1"/>
    </xf>
    <xf numFmtId="168" fontId="11" fillId="34" borderId="51" xfId="1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 horizontal="left" vertical="top" wrapText="1"/>
    </xf>
    <xf numFmtId="165" fontId="3" fillId="0" borderId="21" xfId="2" applyNumberFormat="1" applyFont="1" applyFill="1" applyBorder="1" applyAlignment="1" applyProtection="1">
      <alignment wrapText="1"/>
      <protection hidden="1"/>
    </xf>
    <xf numFmtId="166" fontId="3" fillId="0" borderId="21" xfId="2" applyNumberFormat="1" applyFont="1" applyFill="1" applyBorder="1" applyAlignment="1" applyProtection="1">
      <protection hidden="1"/>
    </xf>
    <xf numFmtId="167" fontId="10" fillId="0" borderId="24" xfId="2" applyNumberFormat="1" applyFont="1" applyFill="1" applyBorder="1" applyAlignment="1" applyProtection="1">
      <alignment wrapText="1"/>
      <protection hidden="1"/>
    </xf>
    <xf numFmtId="165" fontId="3" fillId="0" borderId="24" xfId="1" applyNumberFormat="1" applyFont="1" applyFill="1" applyBorder="1" applyAlignment="1" applyProtection="1">
      <protection hidden="1"/>
    </xf>
    <xf numFmtId="165" fontId="3" fillId="0" borderId="54" xfId="1" applyNumberFormat="1" applyFont="1" applyFill="1" applyBorder="1" applyAlignment="1" applyProtection="1">
      <protection hidden="1"/>
    </xf>
    <xf numFmtId="167" fontId="9" fillId="0" borderId="20" xfId="1" applyNumberFormat="1" applyFont="1" applyFill="1" applyBorder="1" applyAlignment="1" applyProtection="1">
      <alignment wrapText="1"/>
      <protection hidden="1"/>
    </xf>
    <xf numFmtId="168" fontId="2" fillId="33" borderId="41" xfId="1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0" fontId="17" fillId="0" borderId="1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41" fillId="0" borderId="46" xfId="0" applyFont="1" applyFill="1" applyBorder="1" applyAlignment="1">
      <alignment wrapText="1"/>
    </xf>
    <xf numFmtId="168" fontId="42" fillId="0" borderId="14" xfId="0" applyNumberFormat="1" applyFont="1" applyFill="1" applyBorder="1" applyAlignment="1">
      <alignment horizontal="center"/>
    </xf>
    <xf numFmtId="168" fontId="42" fillId="0" borderId="60" xfId="0" applyNumberFormat="1" applyFont="1" applyFill="1" applyBorder="1" applyAlignment="1">
      <alignment horizontal="center"/>
    </xf>
    <xf numFmtId="168" fontId="42" fillId="0" borderId="69" xfId="0" applyNumberFormat="1" applyFont="1" applyFill="1" applyBorder="1" applyAlignment="1">
      <alignment horizontal="center"/>
    </xf>
    <xf numFmtId="168" fontId="38" fillId="0" borderId="21" xfId="0" applyNumberFormat="1" applyFont="1" applyFill="1" applyBorder="1" applyAlignment="1">
      <alignment horizontal="center"/>
    </xf>
    <xf numFmtId="168" fontId="39" fillId="0" borderId="68" xfId="0" applyNumberFormat="1" applyFont="1" applyFill="1" applyBorder="1" applyAlignment="1">
      <alignment horizontal="center"/>
    </xf>
    <xf numFmtId="168" fontId="42" fillId="0" borderId="25" xfId="0" applyNumberFormat="1" applyFont="1" applyFill="1" applyBorder="1" applyAlignment="1">
      <alignment horizontal="center"/>
    </xf>
    <xf numFmtId="168" fontId="38" fillId="0" borderId="8" xfId="0" applyNumberFormat="1" applyFont="1" applyFill="1" applyBorder="1" applyAlignment="1">
      <alignment horizontal="center"/>
    </xf>
    <xf numFmtId="0" fontId="41" fillId="0" borderId="46" xfId="0" applyFont="1" applyFill="1" applyBorder="1" applyAlignment="1">
      <alignment vertical="top" wrapText="1"/>
    </xf>
    <xf numFmtId="168" fontId="42" fillId="0" borderId="55" xfId="0" applyNumberFormat="1" applyFont="1" applyFill="1" applyBorder="1" applyAlignment="1">
      <alignment horizontal="center"/>
    </xf>
    <xf numFmtId="168" fontId="38" fillId="0" borderId="70" xfId="0" applyNumberFormat="1" applyFont="1" applyFill="1" applyBorder="1" applyAlignment="1">
      <alignment horizontal="center"/>
    </xf>
    <xf numFmtId="168" fontId="37" fillId="33" borderId="66" xfId="1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46" fillId="36" borderId="5" xfId="0" applyFont="1" applyFill="1" applyBorder="1" applyAlignment="1">
      <alignment horizontal="center" vertical="center" wrapText="1"/>
    </xf>
    <xf numFmtId="0" fontId="46" fillId="36" borderId="55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17" fillId="36" borderId="5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34" fillId="0" borderId="5" xfId="0" applyNumberFormat="1" applyFont="1" applyBorder="1" applyAlignment="1">
      <alignment horizontal="center"/>
    </xf>
    <xf numFmtId="169" fontId="34" fillId="0" borderId="25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70" fontId="0" fillId="0" borderId="5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vertical="center" wrapText="1"/>
    </xf>
  </cellXfs>
  <cellStyles count="46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45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41;&#1102;&#1076;&#1078;&#1077;&#1090;%20&#1085;&#1072;%202011-2013&#1075;/&#1088;&#1072;&#1089;&#1095;&#1077;&#1090;/&#1087;&#1088;&#1086;&#1073;&#1072;/&#1080;&#1079;&#1084;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80;&#1079;&#108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5">
          <cell r="D25">
            <v>566000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фин"/>
      <sheetName val="адм"/>
      <sheetName val="культ"/>
      <sheetName val="редак"/>
      <sheetName val="субс"/>
      <sheetName val="црб"/>
      <sheetName val="снаб"/>
      <sheetName val="усх"/>
      <sheetName val="д.с.сол"/>
      <sheetName val="д.с.мал"/>
      <sheetName val="д.с.ром"/>
      <sheetName val="д.с.улы"/>
      <sheetName val="д.с.нур"/>
      <sheetName val="ГДСШ"/>
      <sheetName val="кдсш"/>
      <sheetName val="РУО"/>
      <sheetName val="гсш1"/>
      <sheetName val="ГСШ-2"/>
      <sheetName val="Кик СШ"/>
      <sheetName val="АСШ"/>
      <sheetName val="Маа СШ"/>
      <sheetName val="ХСШ"/>
      <sheetName val="Мур СШ"/>
      <sheetName val="Куд СШ"/>
      <sheetName val="Мог СШ"/>
      <sheetName val="Ч СШ"/>
      <sheetName val="шк общ"/>
    </sheetNames>
    <sheetDataSet>
      <sheetData sheetId="0" refreshError="1">
        <row r="6">
          <cell r="F6">
            <v>1232000</v>
          </cell>
        </row>
        <row r="49">
          <cell r="F49">
            <v>0</v>
          </cell>
        </row>
        <row r="61">
          <cell r="F61">
            <v>0</v>
          </cell>
        </row>
        <row r="72">
          <cell r="F72">
            <v>0</v>
          </cell>
        </row>
        <row r="110">
          <cell r="F110">
            <v>0</v>
          </cell>
        </row>
        <row r="114">
          <cell r="F1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фин"/>
      <sheetName val="адм"/>
      <sheetName val="культ"/>
      <sheetName val="редак"/>
      <sheetName val="субс"/>
      <sheetName val="снаб"/>
      <sheetName val="усх"/>
      <sheetName val="д.с.сол"/>
      <sheetName val="д.с.мал"/>
      <sheetName val="д.с.ром"/>
      <sheetName val="д.с.улы"/>
      <sheetName val="д.с.нур"/>
      <sheetName val="ГДСШ"/>
      <sheetName val="кдсш"/>
      <sheetName val="РУО"/>
      <sheetName val="гсш1"/>
      <sheetName val="ГСШ-2"/>
      <sheetName val="Кик СШ"/>
      <sheetName val="АСШ"/>
      <sheetName val="Маа СШ"/>
      <sheetName val="ХСШ"/>
      <sheetName val="Мур СШ"/>
      <sheetName val="Куд СШ"/>
      <sheetName val="Мог СШ"/>
      <sheetName val="Ч СШ"/>
      <sheetName val="д.с. доп"/>
      <sheetName val="шк общ"/>
    </sheetNames>
    <sheetDataSet>
      <sheetData sheetId="0" refreshError="1">
        <row r="6">
          <cell r="F6">
            <v>1197000</v>
          </cell>
        </row>
        <row r="85">
          <cell r="F85">
            <v>0</v>
          </cell>
        </row>
        <row r="97">
          <cell r="F97">
            <v>0</v>
          </cell>
        </row>
      </sheetData>
      <sheetData sheetId="1" refreshError="1"/>
      <sheetData sheetId="2" refreshError="1">
        <row r="6">
          <cell r="F6">
            <v>1197000</v>
          </cell>
        </row>
        <row r="17">
          <cell r="F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Normal="100" workbookViewId="0">
      <selection activeCell="L6" sqref="L6"/>
    </sheetView>
  </sheetViews>
  <sheetFormatPr defaultColWidth="9.109375" defaultRowHeight="14.4"/>
  <cols>
    <col min="1" max="1" width="4" style="81" bestFit="1" customWidth="1"/>
    <col min="2" max="2" width="11" style="81" customWidth="1"/>
    <col min="3" max="3" width="5" style="81" bestFit="1" customWidth="1"/>
    <col min="4" max="4" width="4" style="81" bestFit="1" customWidth="1"/>
    <col min="5" max="5" width="50.109375" style="81" customWidth="1"/>
    <col min="6" max="6" width="9.88671875" style="63" hidden="1" customWidth="1"/>
    <col min="7" max="7" width="9.5546875" style="63" customWidth="1"/>
    <col min="8" max="9" width="9.109375" style="81"/>
    <col min="10" max="10" width="10" style="81" bestFit="1" customWidth="1"/>
    <col min="11" max="16384" width="9.109375" style="81"/>
  </cols>
  <sheetData>
    <row r="1" spans="1:10">
      <c r="G1" s="205" t="s">
        <v>208</v>
      </c>
    </row>
    <row r="2" spans="1:10">
      <c r="G2" s="79" t="s">
        <v>76</v>
      </c>
    </row>
    <row r="3" spans="1:10">
      <c r="G3" s="79" t="s">
        <v>77</v>
      </c>
    </row>
    <row r="4" spans="1:10">
      <c r="E4" s="400" t="s">
        <v>363</v>
      </c>
      <c r="F4" s="400"/>
      <c r="G4" s="400"/>
    </row>
    <row r="5" spans="1:10" ht="15" customHeight="1">
      <c r="A5" s="394" t="s">
        <v>78</v>
      </c>
      <c r="B5" s="394"/>
      <c r="C5" s="394"/>
      <c r="D5" s="394"/>
      <c r="E5" s="394"/>
      <c r="F5" s="394"/>
      <c r="G5" s="394"/>
    </row>
    <row r="6" spans="1:10" ht="15.6">
      <c r="A6" s="395" t="s">
        <v>314</v>
      </c>
      <c r="B6" s="395"/>
      <c r="C6" s="395"/>
      <c r="D6" s="395"/>
      <c r="E6" s="395"/>
      <c r="F6" s="395"/>
      <c r="G6" s="395"/>
    </row>
    <row r="7" spans="1:10" ht="6.75" customHeight="1">
      <c r="G7" s="205"/>
    </row>
    <row r="8" spans="1:10" ht="26.4">
      <c r="A8" s="396" t="s">
        <v>209</v>
      </c>
      <c r="B8" s="397"/>
      <c r="C8" s="397"/>
      <c r="D8" s="398"/>
      <c r="E8" s="206" t="s">
        <v>210</v>
      </c>
      <c r="F8" s="207" t="s">
        <v>211</v>
      </c>
      <c r="G8" s="207" t="s">
        <v>315</v>
      </c>
    </row>
    <row r="9" spans="1:10" ht="40.799999999999997">
      <c r="A9" s="208" t="s">
        <v>75</v>
      </c>
      <c r="B9" s="209" t="s">
        <v>212</v>
      </c>
      <c r="C9" s="209" t="s">
        <v>219</v>
      </c>
      <c r="D9" s="210" t="s">
        <v>214</v>
      </c>
      <c r="E9" s="211" t="s">
        <v>215</v>
      </c>
      <c r="F9" s="212">
        <f>9100+150</f>
        <v>9250</v>
      </c>
      <c r="G9" s="213">
        <v>53273.599999999999</v>
      </c>
      <c r="J9" s="376">
        <f>SUM(G9:G11)</f>
        <v>53818.200000000004</v>
      </c>
    </row>
    <row r="10" spans="1:10" ht="51">
      <c r="A10" s="208" t="s">
        <v>75</v>
      </c>
      <c r="B10" s="209" t="s">
        <v>216</v>
      </c>
      <c r="C10" s="209" t="s">
        <v>219</v>
      </c>
      <c r="D10" s="210" t="s">
        <v>214</v>
      </c>
      <c r="E10" s="211" t="s">
        <v>217</v>
      </c>
      <c r="F10" s="212">
        <v>6</v>
      </c>
      <c r="G10" s="213">
        <v>482.8</v>
      </c>
    </row>
    <row r="11" spans="1:10" ht="30.6">
      <c r="A11" s="208" t="s">
        <v>75</v>
      </c>
      <c r="B11" s="209" t="s">
        <v>277</v>
      </c>
      <c r="C11" s="209" t="s">
        <v>219</v>
      </c>
      <c r="D11" s="210" t="s">
        <v>214</v>
      </c>
      <c r="E11" s="211" t="s">
        <v>278</v>
      </c>
      <c r="F11" s="212"/>
      <c r="G11" s="213">
        <v>61.8</v>
      </c>
    </row>
    <row r="12" spans="1:10" ht="61.2">
      <c r="A12" s="208" t="s">
        <v>75</v>
      </c>
      <c r="B12" s="209" t="s">
        <v>280</v>
      </c>
      <c r="C12" s="209" t="s">
        <v>219</v>
      </c>
      <c r="D12" s="210" t="s">
        <v>214</v>
      </c>
      <c r="E12" s="211" t="s">
        <v>279</v>
      </c>
      <c r="F12" s="212"/>
      <c r="G12" s="213">
        <v>3046.7</v>
      </c>
      <c r="J12" s="376">
        <f>SUM(G12:G15)</f>
        <v>6605.5</v>
      </c>
    </row>
    <row r="13" spans="1:10" ht="71.400000000000006">
      <c r="A13" s="208" t="s">
        <v>75</v>
      </c>
      <c r="B13" s="209" t="s">
        <v>282</v>
      </c>
      <c r="C13" s="209" t="s">
        <v>219</v>
      </c>
      <c r="D13" s="210" t="s">
        <v>214</v>
      </c>
      <c r="E13" s="211" t="s">
        <v>281</v>
      </c>
      <c r="F13" s="212"/>
      <c r="G13" s="213">
        <v>21.8</v>
      </c>
    </row>
    <row r="14" spans="1:10" ht="61.2">
      <c r="A14" s="208" t="s">
        <v>75</v>
      </c>
      <c r="B14" s="209" t="s">
        <v>284</v>
      </c>
      <c r="C14" s="209" t="s">
        <v>219</v>
      </c>
      <c r="D14" s="210" t="s">
        <v>214</v>
      </c>
      <c r="E14" s="211" t="s">
        <v>283</v>
      </c>
      <c r="F14" s="212"/>
      <c r="G14" s="213">
        <v>4098.7</v>
      </c>
    </row>
    <row r="15" spans="1:10" ht="61.2">
      <c r="A15" s="208" t="s">
        <v>75</v>
      </c>
      <c r="B15" s="209" t="s">
        <v>285</v>
      </c>
      <c r="C15" s="209" t="s">
        <v>219</v>
      </c>
      <c r="D15" s="210" t="s">
        <v>214</v>
      </c>
      <c r="E15" s="211" t="s">
        <v>286</v>
      </c>
      <c r="F15" s="212"/>
      <c r="G15" s="213">
        <v>-561.70000000000005</v>
      </c>
    </row>
    <row r="16" spans="1:10" ht="20.399999999999999">
      <c r="A16" s="208" t="s">
        <v>75</v>
      </c>
      <c r="B16" s="209" t="s">
        <v>290</v>
      </c>
      <c r="C16" s="209" t="s">
        <v>219</v>
      </c>
      <c r="D16" s="210" t="s">
        <v>214</v>
      </c>
      <c r="E16" s="211" t="s">
        <v>287</v>
      </c>
      <c r="F16" s="212"/>
      <c r="G16" s="213">
        <v>2193.8000000000002</v>
      </c>
    </row>
    <row r="17" spans="1:7" ht="40.799999999999997">
      <c r="A17" s="208" t="s">
        <v>75</v>
      </c>
      <c r="B17" s="209" t="s">
        <v>291</v>
      </c>
      <c r="C17" s="209" t="s">
        <v>219</v>
      </c>
      <c r="D17" s="210" t="s">
        <v>214</v>
      </c>
      <c r="E17" s="211" t="s">
        <v>288</v>
      </c>
      <c r="F17" s="212"/>
      <c r="G17" s="213">
        <v>9328.9</v>
      </c>
    </row>
    <row r="18" spans="1:7" ht="20.399999999999999">
      <c r="A18" s="208" t="s">
        <v>75</v>
      </c>
      <c r="B18" s="209" t="s">
        <v>292</v>
      </c>
      <c r="C18" s="209" t="s">
        <v>219</v>
      </c>
      <c r="D18" s="210" t="s">
        <v>214</v>
      </c>
      <c r="E18" s="211" t="s">
        <v>289</v>
      </c>
      <c r="F18" s="212"/>
      <c r="G18" s="213">
        <v>33.4</v>
      </c>
    </row>
    <row r="19" spans="1:7">
      <c r="A19" s="208" t="s">
        <v>75</v>
      </c>
      <c r="B19" s="209" t="s">
        <v>218</v>
      </c>
      <c r="C19" s="209" t="s">
        <v>219</v>
      </c>
      <c r="D19" s="210" t="s">
        <v>214</v>
      </c>
      <c r="E19" s="211" t="s">
        <v>220</v>
      </c>
      <c r="F19" s="214">
        <f>ROUND([1]доход!$D$10/1000,0)</f>
        <v>357</v>
      </c>
      <c r="G19" s="213">
        <v>560</v>
      </c>
    </row>
    <row r="20" spans="1:7">
      <c r="A20" s="208" t="s">
        <v>75</v>
      </c>
      <c r="B20" s="209" t="s">
        <v>221</v>
      </c>
      <c r="C20" s="209" t="s">
        <v>213</v>
      </c>
      <c r="D20" s="210" t="s">
        <v>214</v>
      </c>
      <c r="E20" s="211" t="s">
        <v>222</v>
      </c>
      <c r="F20" s="214">
        <f>ROUND([1]доход!$D$11/1000,0)</f>
        <v>48</v>
      </c>
      <c r="G20" s="213">
        <v>184.3</v>
      </c>
    </row>
    <row r="21" spans="1:7" ht="20.399999999999999">
      <c r="A21" s="208" t="s">
        <v>75</v>
      </c>
      <c r="B21" s="209" t="s">
        <v>223</v>
      </c>
      <c r="C21" s="209" t="s">
        <v>213</v>
      </c>
      <c r="D21" s="210" t="s">
        <v>214</v>
      </c>
      <c r="E21" s="211" t="s">
        <v>224</v>
      </c>
      <c r="F21" s="212">
        <v>36</v>
      </c>
      <c r="G21" s="213">
        <v>753.6</v>
      </c>
    </row>
    <row r="22" spans="1:7" ht="20.399999999999999">
      <c r="A22" s="208" t="s">
        <v>75</v>
      </c>
      <c r="B22" s="209" t="s">
        <v>294</v>
      </c>
      <c r="C22" s="209" t="s">
        <v>219</v>
      </c>
      <c r="D22" s="210" t="s">
        <v>214</v>
      </c>
      <c r="E22" s="211" t="s">
        <v>293</v>
      </c>
      <c r="F22" s="212"/>
      <c r="G22" s="213"/>
    </row>
    <row r="23" spans="1:7" ht="20.399999999999999">
      <c r="A23" s="208" t="s">
        <v>75</v>
      </c>
      <c r="B23" s="209" t="s">
        <v>225</v>
      </c>
      <c r="C23" s="209" t="s">
        <v>219</v>
      </c>
      <c r="D23" s="210" t="s">
        <v>226</v>
      </c>
      <c r="E23" s="211" t="s">
        <v>295</v>
      </c>
      <c r="F23" s="212">
        <v>20</v>
      </c>
      <c r="G23" s="213">
        <v>2.2000000000000002</v>
      </c>
    </row>
    <row r="24" spans="1:7">
      <c r="A24" s="208" t="s">
        <v>75</v>
      </c>
      <c r="B24" s="209" t="s">
        <v>297</v>
      </c>
      <c r="C24" s="209" t="s">
        <v>219</v>
      </c>
      <c r="D24" s="210" t="s">
        <v>226</v>
      </c>
      <c r="E24" s="211" t="s">
        <v>296</v>
      </c>
      <c r="F24" s="212"/>
      <c r="G24" s="213">
        <v>0.2</v>
      </c>
    </row>
    <row r="25" spans="1:7" ht="51">
      <c r="A25" s="208" t="s">
        <v>75</v>
      </c>
      <c r="B25" s="209" t="s">
        <v>300</v>
      </c>
      <c r="C25" s="209" t="s">
        <v>219</v>
      </c>
      <c r="D25" s="210" t="s">
        <v>298</v>
      </c>
      <c r="E25" s="211" t="s">
        <v>299</v>
      </c>
      <c r="F25" s="212"/>
      <c r="G25" s="213">
        <v>104.5</v>
      </c>
    </row>
    <row r="26" spans="1:7">
      <c r="A26" s="208" t="s">
        <v>75</v>
      </c>
      <c r="B26" s="209" t="s">
        <v>330</v>
      </c>
      <c r="C26" s="209" t="s">
        <v>219</v>
      </c>
      <c r="D26" s="210" t="s">
        <v>227</v>
      </c>
      <c r="E26" s="211" t="s">
        <v>331</v>
      </c>
      <c r="F26" s="212">
        <v>10</v>
      </c>
      <c r="G26" s="213">
        <v>10.199999999999999</v>
      </c>
    </row>
    <row r="27" spans="1:7" ht="40.799999999999997">
      <c r="A27" s="208" t="s">
        <v>75</v>
      </c>
      <c r="B27" s="209" t="s">
        <v>332</v>
      </c>
      <c r="C27" s="209" t="s">
        <v>219</v>
      </c>
      <c r="D27" s="210" t="s">
        <v>227</v>
      </c>
      <c r="E27" s="211" t="s">
        <v>335</v>
      </c>
      <c r="F27" s="212">
        <v>20</v>
      </c>
      <c r="G27" s="213">
        <v>15</v>
      </c>
    </row>
    <row r="28" spans="1:7" ht="20.399999999999999">
      <c r="A28" s="208" t="s">
        <v>75</v>
      </c>
      <c r="B28" s="209" t="s">
        <v>333</v>
      </c>
      <c r="C28" s="209" t="s">
        <v>219</v>
      </c>
      <c r="D28" s="210" t="s">
        <v>227</v>
      </c>
      <c r="E28" s="211" t="s">
        <v>334</v>
      </c>
      <c r="F28" s="212"/>
      <c r="G28" s="213">
        <v>0.8</v>
      </c>
    </row>
    <row r="29" spans="1:7" ht="20.399999999999999">
      <c r="A29" s="208" t="s">
        <v>75</v>
      </c>
      <c r="B29" s="209" t="s">
        <v>337</v>
      </c>
      <c r="C29" s="209" t="s">
        <v>219</v>
      </c>
      <c r="D29" s="210" t="s">
        <v>227</v>
      </c>
      <c r="E29" s="211" t="s">
        <v>336</v>
      </c>
      <c r="F29" s="212">
        <v>45</v>
      </c>
      <c r="G29" s="213">
        <v>3.2</v>
      </c>
    </row>
    <row r="30" spans="1:7" ht="20.399999999999999">
      <c r="A30" s="208" t="s">
        <v>75</v>
      </c>
      <c r="B30" s="209" t="s">
        <v>339</v>
      </c>
      <c r="C30" s="209" t="s">
        <v>219</v>
      </c>
      <c r="D30" s="210" t="s">
        <v>227</v>
      </c>
      <c r="E30" s="211" t="s">
        <v>338</v>
      </c>
      <c r="F30" s="212">
        <v>20</v>
      </c>
      <c r="G30" s="213">
        <v>6</v>
      </c>
    </row>
    <row r="31" spans="1:7" ht="27.75" customHeight="1">
      <c r="A31" s="208" t="s">
        <v>75</v>
      </c>
      <c r="B31" s="209" t="s">
        <v>340</v>
      </c>
      <c r="C31" s="209" t="s">
        <v>219</v>
      </c>
      <c r="D31" s="210" t="s">
        <v>227</v>
      </c>
      <c r="E31" s="211" t="s">
        <v>341</v>
      </c>
      <c r="F31" s="212">
        <v>155</v>
      </c>
      <c r="G31" s="213">
        <v>406.9</v>
      </c>
    </row>
    <row r="32" spans="1:7" ht="60.75" customHeight="1">
      <c r="A32" s="208" t="s">
        <v>75</v>
      </c>
      <c r="B32" s="209" t="s">
        <v>342</v>
      </c>
      <c r="C32" s="209" t="s">
        <v>219</v>
      </c>
      <c r="D32" s="210" t="s">
        <v>227</v>
      </c>
      <c r="E32" s="211" t="s">
        <v>343</v>
      </c>
      <c r="F32" s="212"/>
      <c r="G32" s="213">
        <v>8.3000000000000007</v>
      </c>
    </row>
    <row r="33" spans="1:10" ht="20.399999999999999">
      <c r="A33" s="208" t="s">
        <v>75</v>
      </c>
      <c r="B33" s="209" t="s">
        <v>344</v>
      </c>
      <c r="C33" s="209" t="s">
        <v>219</v>
      </c>
      <c r="D33" s="210" t="s">
        <v>227</v>
      </c>
      <c r="E33" s="211" t="s">
        <v>295</v>
      </c>
      <c r="F33" s="212">
        <v>10</v>
      </c>
      <c r="G33" s="213">
        <v>7.1</v>
      </c>
    </row>
    <row r="34" spans="1:10" ht="20.399999999999999">
      <c r="A34" s="208" t="s">
        <v>75</v>
      </c>
      <c r="B34" s="209" t="s">
        <v>301</v>
      </c>
      <c r="C34" s="209" t="s">
        <v>219</v>
      </c>
      <c r="D34" s="210" t="s">
        <v>229</v>
      </c>
      <c r="E34" s="211" t="s">
        <v>302</v>
      </c>
      <c r="F34" s="212"/>
      <c r="G34" s="213">
        <v>83.4</v>
      </c>
    </row>
    <row r="35" spans="1:10">
      <c r="A35" s="208" t="s">
        <v>75</v>
      </c>
      <c r="B35" s="209" t="s">
        <v>228</v>
      </c>
      <c r="C35" s="209" t="s">
        <v>219</v>
      </c>
      <c r="D35" s="210" t="s">
        <v>229</v>
      </c>
      <c r="E35" s="211" t="s">
        <v>230</v>
      </c>
      <c r="F35" s="212">
        <v>63</v>
      </c>
      <c r="G35" s="213">
        <v>1289.5</v>
      </c>
    </row>
    <row r="36" spans="1:10" ht="20.399999999999999">
      <c r="A36" s="208" t="s">
        <v>75</v>
      </c>
      <c r="B36" s="209" t="s">
        <v>316</v>
      </c>
      <c r="C36" s="209" t="s">
        <v>219</v>
      </c>
      <c r="D36" s="210" t="s">
        <v>240</v>
      </c>
      <c r="E36" s="211" t="s">
        <v>231</v>
      </c>
      <c r="F36" s="214">
        <f>ROUND([1]доход!$D$19/1000,0)</f>
        <v>96037</v>
      </c>
      <c r="G36" s="213">
        <v>74152</v>
      </c>
      <c r="I36" s="376">
        <f>G36+G37</f>
        <v>77671.600000000006</v>
      </c>
    </row>
    <row r="37" spans="1:10" ht="30.6">
      <c r="A37" s="208" t="s">
        <v>75</v>
      </c>
      <c r="B37" s="209" t="s">
        <v>317</v>
      </c>
      <c r="C37" s="209" t="s">
        <v>219</v>
      </c>
      <c r="D37" s="210" t="s">
        <v>240</v>
      </c>
      <c r="E37" s="211" t="s">
        <v>303</v>
      </c>
      <c r="F37" s="214"/>
      <c r="G37" s="213">
        <v>3519.6</v>
      </c>
    </row>
    <row r="38" spans="1:10" ht="40.799999999999997">
      <c r="A38" s="208" t="s">
        <v>75</v>
      </c>
      <c r="B38" s="209" t="s">
        <v>261</v>
      </c>
      <c r="C38" s="209" t="s">
        <v>219</v>
      </c>
      <c r="D38" s="210" t="s">
        <v>240</v>
      </c>
      <c r="E38" s="211" t="s">
        <v>262</v>
      </c>
      <c r="F38" s="214"/>
      <c r="G38" s="213">
        <v>5902.5</v>
      </c>
      <c r="I38" s="376">
        <f>G38+G40+G41+G42</f>
        <v>19766.599999999999</v>
      </c>
    </row>
    <row r="39" spans="1:10" ht="20.399999999999999">
      <c r="A39" s="208" t="s">
        <v>75</v>
      </c>
      <c r="B39" s="209" t="s">
        <v>249</v>
      </c>
      <c r="C39" s="209" t="s">
        <v>219</v>
      </c>
      <c r="D39" s="210" t="s">
        <v>240</v>
      </c>
      <c r="E39" s="211" t="s">
        <v>305</v>
      </c>
      <c r="F39" s="214"/>
      <c r="G39" s="213">
        <v>0</v>
      </c>
    </row>
    <row r="40" spans="1:10" ht="20.399999999999999">
      <c r="A40" s="208" t="s">
        <v>75</v>
      </c>
      <c r="B40" s="209" t="s">
        <v>307</v>
      </c>
      <c r="C40" s="209" t="s">
        <v>219</v>
      </c>
      <c r="D40" s="210" t="s">
        <v>240</v>
      </c>
      <c r="E40" s="211" t="s">
        <v>242</v>
      </c>
      <c r="F40" s="214"/>
      <c r="G40" s="213">
        <v>3684</v>
      </c>
    </row>
    <row r="41" spans="1:10">
      <c r="A41" s="208" t="s">
        <v>219</v>
      </c>
      <c r="B41" s="209" t="s">
        <v>304</v>
      </c>
      <c r="C41" s="209" t="s">
        <v>219</v>
      </c>
      <c r="D41" s="210" t="s">
        <v>240</v>
      </c>
      <c r="E41" s="211" t="s">
        <v>306</v>
      </c>
      <c r="F41" s="214"/>
      <c r="G41" s="213">
        <v>7934.8</v>
      </c>
    </row>
    <row r="42" spans="1:10" ht="40.799999999999997">
      <c r="A42" s="208" t="s">
        <v>75</v>
      </c>
      <c r="B42" s="209" t="s">
        <v>328</v>
      </c>
      <c r="C42" s="209" t="s">
        <v>219</v>
      </c>
      <c r="D42" s="210" t="s">
        <v>240</v>
      </c>
      <c r="E42" s="211" t="s">
        <v>329</v>
      </c>
      <c r="F42" s="214"/>
      <c r="G42" s="213">
        <v>2245.3000000000002</v>
      </c>
    </row>
    <row r="43" spans="1:10" ht="30.6">
      <c r="A43" s="208" t="s">
        <v>75</v>
      </c>
      <c r="B43" s="209" t="s">
        <v>327</v>
      </c>
      <c r="C43" s="209" t="s">
        <v>219</v>
      </c>
      <c r="D43" s="210" t="s">
        <v>240</v>
      </c>
      <c r="E43" s="211" t="s">
        <v>326</v>
      </c>
      <c r="F43" s="214">
        <f>([1]доход!$D$21+[1]доход!$D$22)/1000</f>
        <v>2886</v>
      </c>
      <c r="G43" s="213">
        <v>4065.1</v>
      </c>
      <c r="I43" s="376">
        <f>G43+G44+G45+G46+G48+G49+G50+G52+G53+G55</f>
        <v>267937.2</v>
      </c>
    </row>
    <row r="44" spans="1:10" ht="20.399999999999999">
      <c r="A44" s="208" t="s">
        <v>75</v>
      </c>
      <c r="B44" s="209" t="s">
        <v>320</v>
      </c>
      <c r="C44" s="209" t="s">
        <v>219</v>
      </c>
      <c r="D44" s="210" t="s">
        <v>240</v>
      </c>
      <c r="E44" s="211" t="s">
        <v>236</v>
      </c>
      <c r="F44" s="214">
        <f>ROUND([1]доход!$D$25/1000,0)</f>
        <v>566</v>
      </c>
      <c r="G44" s="213">
        <v>248847</v>
      </c>
      <c r="I44" s="376"/>
      <c r="J44" s="376">
        <f>I43+I38+I36</f>
        <v>365375.4</v>
      </c>
    </row>
    <row r="45" spans="1:10" ht="30.6">
      <c r="A45" s="208" t="s">
        <v>75</v>
      </c>
      <c r="B45" s="209" t="s">
        <v>324</v>
      </c>
      <c r="C45" s="209" t="s">
        <v>219</v>
      </c>
      <c r="D45" s="210" t="s">
        <v>240</v>
      </c>
      <c r="E45" s="211" t="s">
        <v>232</v>
      </c>
      <c r="F45" s="214">
        <f>ROUND([1]доход!$D$35/1000,0)</f>
        <v>678</v>
      </c>
      <c r="G45" s="213">
        <v>1299</v>
      </c>
    </row>
    <row r="46" spans="1:10" ht="30.6">
      <c r="A46" s="208" t="s">
        <v>75</v>
      </c>
      <c r="B46" s="209" t="s">
        <v>325</v>
      </c>
      <c r="C46" s="209" t="s">
        <v>219</v>
      </c>
      <c r="D46" s="210" t="s">
        <v>240</v>
      </c>
      <c r="E46" s="211" t="s">
        <v>233</v>
      </c>
      <c r="F46" s="214">
        <f>ROUND([1]доход!$D$35/1000,0)</f>
        <v>678</v>
      </c>
      <c r="G46" s="213">
        <v>589.70000000000005</v>
      </c>
    </row>
    <row r="47" spans="1:10" ht="30.6">
      <c r="A47" s="208" t="s">
        <v>75</v>
      </c>
      <c r="B47" s="209" t="s">
        <v>234</v>
      </c>
      <c r="C47" s="209" t="s">
        <v>219</v>
      </c>
      <c r="D47" s="210" t="s">
        <v>240</v>
      </c>
      <c r="E47" s="211" t="s">
        <v>235</v>
      </c>
      <c r="F47" s="214"/>
      <c r="G47" s="213">
        <v>0</v>
      </c>
    </row>
    <row r="48" spans="1:10" ht="30.6">
      <c r="A48" s="208" t="s">
        <v>75</v>
      </c>
      <c r="B48" s="209" t="s">
        <v>322</v>
      </c>
      <c r="C48" s="209" t="s">
        <v>219</v>
      </c>
      <c r="D48" s="210" t="s">
        <v>240</v>
      </c>
      <c r="E48" s="211" t="s">
        <v>321</v>
      </c>
      <c r="F48" s="212">
        <f>([1]доход!$D$27+[1]доход!$D$29+[1]доход!$D$32+[1]доход!$D$33+[1]доход!$D$34+[1]доход!$D$37+[1]доход!$D$38)/1000</f>
        <v>100990</v>
      </c>
      <c r="G48" s="213">
        <v>6991.3</v>
      </c>
    </row>
    <row r="49" spans="1:9" ht="40.799999999999997">
      <c r="A49" s="208" t="s">
        <v>75</v>
      </c>
      <c r="B49" s="209" t="s">
        <v>323</v>
      </c>
      <c r="C49" s="209" t="s">
        <v>219</v>
      </c>
      <c r="D49" s="210" t="s">
        <v>240</v>
      </c>
      <c r="E49" s="211" t="s">
        <v>141</v>
      </c>
      <c r="F49" s="214">
        <f>ROUND([1]доход!$D$31/1000,3)</f>
        <v>1223.442</v>
      </c>
      <c r="G49" s="213">
        <v>930.1</v>
      </c>
    </row>
    <row r="50" spans="1:9" ht="30.6">
      <c r="A50" s="208" t="s">
        <v>75</v>
      </c>
      <c r="B50" s="209" t="s">
        <v>237</v>
      </c>
      <c r="C50" s="209" t="s">
        <v>219</v>
      </c>
      <c r="D50" s="210" t="s">
        <v>240</v>
      </c>
      <c r="E50" s="211" t="s">
        <v>345</v>
      </c>
      <c r="F50" s="214">
        <f>ROUND([1]доход!$D$30/1000,0)</f>
        <v>1392</v>
      </c>
      <c r="G50" s="213">
        <v>1005.4</v>
      </c>
    </row>
    <row r="51" spans="1:9">
      <c r="A51" s="215" t="s">
        <v>75</v>
      </c>
      <c r="B51" s="209" t="s">
        <v>238</v>
      </c>
      <c r="C51" s="215" t="s">
        <v>219</v>
      </c>
      <c r="D51" s="215" t="s">
        <v>240</v>
      </c>
      <c r="E51" s="211"/>
      <c r="F51" s="216"/>
      <c r="G51" s="213">
        <v>0</v>
      </c>
      <c r="I51" s="376"/>
    </row>
    <row r="52" spans="1:9">
      <c r="A52" s="215" t="s">
        <v>75</v>
      </c>
      <c r="B52" s="215" t="s">
        <v>308</v>
      </c>
      <c r="C52" s="215" t="s">
        <v>219</v>
      </c>
      <c r="D52" s="215" t="s">
        <v>240</v>
      </c>
      <c r="E52" s="211" t="s">
        <v>309</v>
      </c>
      <c r="F52" s="216"/>
      <c r="G52" s="213">
        <v>1200</v>
      </c>
    </row>
    <row r="53" spans="1:9" ht="20.399999999999999">
      <c r="A53" s="215" t="s">
        <v>75</v>
      </c>
      <c r="B53" s="215" t="s">
        <v>318</v>
      </c>
      <c r="C53" s="215" t="s">
        <v>219</v>
      </c>
      <c r="D53" s="215" t="s">
        <v>240</v>
      </c>
      <c r="E53" s="211" t="s">
        <v>319</v>
      </c>
      <c r="F53" s="216"/>
      <c r="G53" s="213">
        <v>5979.5</v>
      </c>
    </row>
    <row r="54" spans="1:9" ht="30.6">
      <c r="A54" s="244" t="s">
        <v>75</v>
      </c>
      <c r="B54" s="215" t="s">
        <v>310</v>
      </c>
      <c r="C54" s="215" t="s">
        <v>219</v>
      </c>
      <c r="D54" s="245" t="s">
        <v>240</v>
      </c>
      <c r="E54" s="243" t="s">
        <v>312</v>
      </c>
      <c r="F54" s="216"/>
      <c r="G54" s="213">
        <v>0</v>
      </c>
    </row>
    <row r="55" spans="1:9" ht="30.6">
      <c r="A55" s="208" t="s">
        <v>75</v>
      </c>
      <c r="B55" s="209" t="s">
        <v>311</v>
      </c>
      <c r="C55" s="209" t="s">
        <v>219</v>
      </c>
      <c r="D55" s="210" t="s">
        <v>240</v>
      </c>
      <c r="E55" s="243" t="s">
        <v>313</v>
      </c>
      <c r="F55" s="216"/>
      <c r="G55" s="213">
        <v>-2969.9</v>
      </c>
    </row>
    <row r="56" spans="1:9">
      <c r="A56" s="246"/>
      <c r="B56" s="247"/>
      <c r="C56" s="247"/>
      <c r="D56" s="248"/>
      <c r="E56" s="217"/>
      <c r="F56" s="216"/>
      <c r="G56" s="212"/>
    </row>
    <row r="57" spans="1:9" ht="15" thickBot="1">
      <c r="A57" s="399" t="s">
        <v>239</v>
      </c>
      <c r="B57" s="399"/>
      <c r="C57" s="399"/>
      <c r="D57" s="399"/>
      <c r="E57" s="399"/>
      <c r="F57" s="218">
        <f>SUM(F9:F50)</f>
        <v>214490.44200000001</v>
      </c>
      <c r="G57" s="213">
        <f>SUM(G9:G55)</f>
        <v>440790.39999999997</v>
      </c>
    </row>
  </sheetData>
  <mergeCells count="5">
    <mergeCell ref="A5:G5"/>
    <mergeCell ref="A6:G6"/>
    <mergeCell ref="A8:D8"/>
    <mergeCell ref="A57:E57"/>
    <mergeCell ref="E4:G4"/>
  </mergeCells>
  <pageMargins left="0.70866141732283472" right="0.15748031496062992" top="0.74803149606299213" bottom="0.35433070866141736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J214"/>
  <sheetViews>
    <sheetView zoomScale="120" zoomScaleNormal="120" workbookViewId="0">
      <selection activeCell="K7" sqref="K7"/>
    </sheetView>
  </sheetViews>
  <sheetFormatPr defaultRowHeight="14.4"/>
  <cols>
    <col min="1" max="1" width="39.6640625" customWidth="1"/>
    <col min="2" max="2" width="3.33203125" bestFit="1" customWidth="1"/>
    <col min="3" max="3" width="3.5546875" bestFit="1" customWidth="1"/>
    <col min="4" max="4" width="9.88671875" customWidth="1"/>
    <col min="5" max="5" width="4.109375" bestFit="1" customWidth="1"/>
    <col min="6" max="6" width="9.109375" customWidth="1"/>
    <col min="7" max="7" width="10" customWidth="1"/>
    <col min="8" max="8" width="15.109375" customWidth="1"/>
    <col min="10" max="10" width="10" bestFit="1" customWidth="1"/>
  </cols>
  <sheetData>
    <row r="1" spans="1:9">
      <c r="A1" s="44"/>
      <c r="B1" s="44"/>
      <c r="C1" s="44"/>
      <c r="D1" s="44"/>
      <c r="E1" s="44"/>
      <c r="F1" s="58"/>
      <c r="G1" s="58"/>
      <c r="H1" s="58" t="s">
        <v>88</v>
      </c>
    </row>
    <row r="2" spans="1:9">
      <c r="A2" s="44"/>
      <c r="B2" s="44"/>
      <c r="C2" s="44"/>
      <c r="D2" s="44"/>
      <c r="E2" s="44"/>
      <c r="F2" s="58"/>
      <c r="G2" s="58"/>
      <c r="H2" s="79" t="s">
        <v>76</v>
      </c>
    </row>
    <row r="3" spans="1:9">
      <c r="A3" s="44"/>
      <c r="B3" s="44"/>
      <c r="C3" s="44"/>
      <c r="D3" s="44"/>
      <c r="E3" s="44"/>
      <c r="F3" s="58"/>
      <c r="G3" s="58"/>
      <c r="H3" s="79" t="s">
        <v>77</v>
      </c>
    </row>
    <row r="4" spans="1:9" s="81" customFormat="1">
      <c r="A4" s="44"/>
      <c r="B4" s="44"/>
      <c r="C4" s="44"/>
      <c r="D4" s="44"/>
      <c r="E4" s="44"/>
      <c r="F4" s="58"/>
      <c r="G4" s="402" t="s">
        <v>363</v>
      </c>
      <c r="H4" s="402"/>
    </row>
    <row r="5" spans="1:9" ht="15.6">
      <c r="A5" s="401" t="s">
        <v>78</v>
      </c>
      <c r="B5" s="401"/>
      <c r="C5" s="401"/>
      <c r="D5" s="401"/>
      <c r="E5" s="401"/>
      <c r="F5" s="401"/>
      <c r="G5" s="401"/>
      <c r="H5" s="401"/>
    </row>
    <row r="6" spans="1:9" ht="33" customHeight="1" thickBot="1">
      <c r="A6" s="395" t="s">
        <v>346</v>
      </c>
      <c r="B6" s="395"/>
      <c r="C6" s="395"/>
      <c r="D6" s="395"/>
      <c r="E6" s="395"/>
      <c r="F6" s="395"/>
      <c r="G6" s="395"/>
      <c r="H6" s="395"/>
    </row>
    <row r="7" spans="1:9" ht="97.5" customHeight="1">
      <c r="A7" s="45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85" t="s">
        <v>5</v>
      </c>
      <c r="G7" s="91" t="s">
        <v>6</v>
      </c>
      <c r="H7" s="92" t="s">
        <v>198</v>
      </c>
    </row>
    <row r="8" spans="1:9">
      <c r="A8" s="150">
        <v>1</v>
      </c>
      <c r="B8" s="149">
        <v>2</v>
      </c>
      <c r="C8" s="149">
        <v>3</v>
      </c>
      <c r="D8" s="149">
        <v>4</v>
      </c>
      <c r="E8" s="149">
        <v>5</v>
      </c>
      <c r="F8" s="151">
        <v>7</v>
      </c>
      <c r="G8" s="152"/>
      <c r="H8" s="153">
        <v>8</v>
      </c>
    </row>
    <row r="9" spans="1:9" ht="15.75" customHeight="1">
      <c r="A9" s="172" t="s">
        <v>7</v>
      </c>
      <c r="B9" s="145" t="s">
        <v>74</v>
      </c>
      <c r="C9" s="145" t="s">
        <v>74</v>
      </c>
      <c r="D9" s="145" t="s">
        <v>146</v>
      </c>
      <c r="E9" s="145" t="s">
        <v>75</v>
      </c>
      <c r="F9" s="173">
        <f>F10+F45+F48+F59+F70+F85+F143+F177+F190+F195+F202+F205</f>
        <v>439569.81099999999</v>
      </c>
      <c r="G9" s="173">
        <f>G10+G45+G48+G59+G70+G85+G143+G177+G190+G195+G202+G205</f>
        <v>154794.171</v>
      </c>
      <c r="H9" s="173">
        <f>H10+H45+H48+H59+H70+H85+H143+H177+H190+H195+H202+H205</f>
        <v>284775.64</v>
      </c>
      <c r="I9" s="81"/>
    </row>
    <row r="10" spans="1:9" ht="15.75" customHeight="1">
      <c r="A10" s="129" t="s">
        <v>8</v>
      </c>
      <c r="B10" s="11">
        <v>1</v>
      </c>
      <c r="C10" s="11">
        <v>0</v>
      </c>
      <c r="D10" s="145" t="s">
        <v>146</v>
      </c>
      <c r="E10" s="12">
        <v>0</v>
      </c>
      <c r="F10" s="173">
        <f t="shared" ref="F10:G10" si="0">F11+F14+F19+F30+F37+F40+F34+F28</f>
        <v>24116.22</v>
      </c>
      <c r="G10" s="173">
        <f t="shared" si="0"/>
        <v>23215.22</v>
      </c>
      <c r="H10" s="173">
        <f>H11+H14+H19+H30+H37+H40+H34+H28</f>
        <v>901</v>
      </c>
    </row>
    <row r="11" spans="1:9" ht="36.75" customHeight="1">
      <c r="A11" s="129" t="s">
        <v>9</v>
      </c>
      <c r="B11" s="11">
        <v>1</v>
      </c>
      <c r="C11" s="11">
        <v>2</v>
      </c>
      <c r="D11" s="145" t="s">
        <v>146</v>
      </c>
      <c r="E11" s="12">
        <v>0</v>
      </c>
      <c r="F11" s="100">
        <f>SUM(F12:F13)</f>
        <v>1617</v>
      </c>
      <c r="G11" s="100">
        <f t="shared" ref="G11:H11" si="1">SUM(G12:G13)</f>
        <v>1617</v>
      </c>
      <c r="H11" s="100">
        <f t="shared" si="1"/>
        <v>0</v>
      </c>
    </row>
    <row r="12" spans="1:9" ht="24.6">
      <c r="A12" s="128" t="s">
        <v>10</v>
      </c>
      <c r="B12" s="4">
        <v>1</v>
      </c>
      <c r="C12" s="4">
        <v>2</v>
      </c>
      <c r="D12" s="5" t="s">
        <v>150</v>
      </c>
      <c r="E12" s="6">
        <v>100</v>
      </c>
      <c r="F12" s="110">
        <f>SUM(G12:H12)</f>
        <v>1417</v>
      </c>
      <c r="G12" s="200">
        <v>1417</v>
      </c>
      <c r="H12" s="110">
        <v>0</v>
      </c>
    </row>
    <row r="13" spans="1:9">
      <c r="A13" s="128" t="s">
        <v>11</v>
      </c>
      <c r="B13" s="4">
        <v>1</v>
      </c>
      <c r="C13" s="4">
        <v>2</v>
      </c>
      <c r="D13" s="5" t="s">
        <v>151</v>
      </c>
      <c r="E13" s="6">
        <v>200</v>
      </c>
      <c r="F13" s="110">
        <f>SUM(G13:H13)</f>
        <v>200</v>
      </c>
      <c r="G13" s="200">
        <v>200</v>
      </c>
      <c r="H13" s="110">
        <v>0</v>
      </c>
    </row>
    <row r="14" spans="1:9" ht="36.75" customHeight="1">
      <c r="A14" s="70" t="s">
        <v>12</v>
      </c>
      <c r="B14" s="7">
        <v>1</v>
      </c>
      <c r="C14" s="7">
        <v>3</v>
      </c>
      <c r="D14" s="145" t="s">
        <v>146</v>
      </c>
      <c r="E14" s="43">
        <v>0</v>
      </c>
      <c r="F14" s="173">
        <f>SUM(F15:F18)</f>
        <v>2185.4</v>
      </c>
      <c r="G14" s="173">
        <f>SUM(G15:G18)</f>
        <v>2185.4</v>
      </c>
      <c r="H14" s="173">
        <f>SUM(H15:H18)</f>
        <v>0</v>
      </c>
    </row>
    <row r="15" spans="1:9">
      <c r="A15" s="128" t="s">
        <v>13</v>
      </c>
      <c r="B15" s="4">
        <v>1</v>
      </c>
      <c r="C15" s="4">
        <v>3</v>
      </c>
      <c r="D15" s="5" t="s">
        <v>152</v>
      </c>
      <c r="E15" s="6">
        <v>100</v>
      </c>
      <c r="F15" s="110">
        <f t="shared" ref="F15:F18" si="2">SUM(G15:H15)</f>
        <v>1200</v>
      </c>
      <c r="G15" s="200">
        <v>1200</v>
      </c>
      <c r="H15" s="110">
        <v>0</v>
      </c>
    </row>
    <row r="16" spans="1:9" s="81" customFormat="1">
      <c r="A16" s="128" t="s">
        <v>11</v>
      </c>
      <c r="B16" s="4">
        <v>1</v>
      </c>
      <c r="C16" s="4">
        <v>3</v>
      </c>
      <c r="D16" s="5" t="s">
        <v>151</v>
      </c>
      <c r="E16" s="6">
        <v>100</v>
      </c>
      <c r="F16" s="110">
        <f t="shared" si="2"/>
        <v>606</v>
      </c>
      <c r="G16" s="200">
        <v>606</v>
      </c>
      <c r="H16" s="110">
        <v>0</v>
      </c>
    </row>
    <row r="17" spans="1:9">
      <c r="A17" s="128" t="s">
        <v>11</v>
      </c>
      <c r="B17" s="4">
        <v>1</v>
      </c>
      <c r="C17" s="4">
        <v>3</v>
      </c>
      <c r="D17" s="5" t="s">
        <v>151</v>
      </c>
      <c r="E17" s="6">
        <v>200</v>
      </c>
      <c r="F17" s="110">
        <f t="shared" si="2"/>
        <v>364.4</v>
      </c>
      <c r="G17" s="200">
        <v>364.4</v>
      </c>
      <c r="H17" s="110"/>
    </row>
    <row r="18" spans="1:9" s="81" customFormat="1">
      <c r="A18" s="128" t="s">
        <v>11</v>
      </c>
      <c r="B18" s="4">
        <v>1</v>
      </c>
      <c r="C18" s="4">
        <v>3</v>
      </c>
      <c r="D18" s="5" t="s">
        <v>151</v>
      </c>
      <c r="E18" s="6">
        <v>851</v>
      </c>
      <c r="F18" s="110">
        <f t="shared" si="2"/>
        <v>15</v>
      </c>
      <c r="G18" s="200">
        <v>15</v>
      </c>
      <c r="H18" s="110"/>
    </row>
    <row r="19" spans="1:9" ht="36.75" customHeight="1">
      <c r="A19" s="70" t="s">
        <v>14</v>
      </c>
      <c r="B19" s="7">
        <v>1</v>
      </c>
      <c r="C19" s="7">
        <v>4</v>
      </c>
      <c r="D19" s="145" t="s">
        <v>146</v>
      </c>
      <c r="E19" s="43">
        <v>0</v>
      </c>
      <c r="F19" s="100">
        <f>SUM(F20:F27)</f>
        <v>16233.92</v>
      </c>
      <c r="G19" s="100">
        <f>SUM(G20:G27)</f>
        <v>15519.92</v>
      </c>
      <c r="H19" s="100">
        <f>SUM(H20:H27)</f>
        <v>714</v>
      </c>
      <c r="I19" s="81"/>
    </row>
    <row r="20" spans="1:9">
      <c r="A20" s="128" t="s">
        <v>11</v>
      </c>
      <c r="B20" s="4">
        <v>1</v>
      </c>
      <c r="C20" s="4">
        <v>4</v>
      </c>
      <c r="D20" s="5" t="s">
        <v>151</v>
      </c>
      <c r="E20" s="6">
        <v>100</v>
      </c>
      <c r="F20" s="110">
        <f>SUM(G20:H20)</f>
        <v>11819.2</v>
      </c>
      <c r="G20" s="200">
        <v>11819.2</v>
      </c>
      <c r="H20" s="110">
        <v>0</v>
      </c>
    </row>
    <row r="21" spans="1:9" s="81" customFormat="1">
      <c r="A21" s="128" t="s">
        <v>11</v>
      </c>
      <c r="B21" s="4">
        <v>1</v>
      </c>
      <c r="C21" s="4">
        <v>4</v>
      </c>
      <c r="D21" s="5" t="s">
        <v>151</v>
      </c>
      <c r="E21" s="6">
        <v>200</v>
      </c>
      <c r="F21" s="110">
        <f t="shared" ref="F21:F23" si="3">SUM(G21:H21)</f>
        <v>2996.9</v>
      </c>
      <c r="G21" s="200">
        <v>2996.9</v>
      </c>
      <c r="H21" s="110"/>
    </row>
    <row r="22" spans="1:9" s="81" customFormat="1">
      <c r="A22" s="128" t="s">
        <v>11</v>
      </c>
      <c r="B22" s="4">
        <v>1</v>
      </c>
      <c r="C22" s="4">
        <v>4</v>
      </c>
      <c r="D22" s="5" t="s">
        <v>151</v>
      </c>
      <c r="E22" s="6">
        <v>300</v>
      </c>
      <c r="F22" s="110">
        <f t="shared" ref="F22" si="4">SUM(G22:H22)</f>
        <v>607.97</v>
      </c>
      <c r="G22" s="200">
        <v>607.97</v>
      </c>
      <c r="H22" s="110"/>
    </row>
    <row r="23" spans="1:9" s="81" customFormat="1">
      <c r="A23" s="128" t="s">
        <v>11</v>
      </c>
      <c r="B23" s="4">
        <v>1</v>
      </c>
      <c r="C23" s="4">
        <v>4</v>
      </c>
      <c r="D23" s="5" t="s">
        <v>151</v>
      </c>
      <c r="E23" s="6">
        <v>800</v>
      </c>
      <c r="F23" s="110">
        <f t="shared" si="3"/>
        <v>95.85</v>
      </c>
      <c r="G23" s="200">
        <v>95.85</v>
      </c>
      <c r="H23" s="110">
        <v>0</v>
      </c>
    </row>
    <row r="24" spans="1:9" s="81" customFormat="1" ht="36.6">
      <c r="A24" s="128" t="s">
        <v>22</v>
      </c>
      <c r="B24" s="4">
        <v>1</v>
      </c>
      <c r="C24" s="4">
        <v>4</v>
      </c>
      <c r="D24" s="5">
        <v>9980077710</v>
      </c>
      <c r="E24" s="6">
        <v>100</v>
      </c>
      <c r="F24" s="110">
        <f t="shared" ref="F24:F27" si="5">SUM(G24:H24)</f>
        <v>333</v>
      </c>
      <c r="G24" s="110"/>
      <c r="H24" s="110">
        <v>333</v>
      </c>
    </row>
    <row r="25" spans="1:9" s="81" customFormat="1" ht="26.25" customHeight="1">
      <c r="A25" s="128" t="s">
        <v>22</v>
      </c>
      <c r="B25" s="4">
        <v>1</v>
      </c>
      <c r="C25" s="4">
        <v>4</v>
      </c>
      <c r="D25" s="5">
        <v>9980077710</v>
      </c>
      <c r="E25" s="6">
        <v>200</v>
      </c>
      <c r="F25" s="110">
        <f t="shared" si="5"/>
        <v>24</v>
      </c>
      <c r="G25" s="110"/>
      <c r="H25" s="110">
        <v>24</v>
      </c>
    </row>
    <row r="26" spans="1:9" s="81" customFormat="1" ht="26.25" customHeight="1">
      <c r="A26" s="128" t="s">
        <v>20</v>
      </c>
      <c r="B26" s="4">
        <v>1</v>
      </c>
      <c r="C26" s="4">
        <v>4</v>
      </c>
      <c r="D26" s="5">
        <v>9980077720</v>
      </c>
      <c r="E26" s="6">
        <v>100</v>
      </c>
      <c r="F26" s="110">
        <f t="shared" si="5"/>
        <v>338.3</v>
      </c>
      <c r="G26" s="110"/>
      <c r="H26" s="110">
        <v>338.3</v>
      </c>
    </row>
    <row r="27" spans="1:9" s="81" customFormat="1" ht="24.6">
      <c r="A27" s="128" t="s">
        <v>20</v>
      </c>
      <c r="B27" s="4">
        <v>1</v>
      </c>
      <c r="C27" s="4">
        <v>4</v>
      </c>
      <c r="D27" s="5">
        <v>9980077720</v>
      </c>
      <c r="E27" s="6">
        <v>200</v>
      </c>
      <c r="F27" s="110">
        <f t="shared" si="5"/>
        <v>18.7</v>
      </c>
      <c r="G27" s="110"/>
      <c r="H27" s="110">
        <v>18.7</v>
      </c>
    </row>
    <row r="28" spans="1:9" s="81" customFormat="1" hidden="1">
      <c r="A28" s="129" t="s">
        <v>144</v>
      </c>
      <c r="B28" s="11">
        <v>1</v>
      </c>
      <c r="C28" s="11">
        <v>5</v>
      </c>
      <c r="D28" s="145" t="s">
        <v>146</v>
      </c>
      <c r="E28" s="12">
        <v>0</v>
      </c>
      <c r="F28" s="100">
        <f>F29</f>
        <v>0</v>
      </c>
      <c r="G28" s="100">
        <f>G29</f>
        <v>0</v>
      </c>
      <c r="H28" s="100">
        <f>H29</f>
        <v>0</v>
      </c>
    </row>
    <row r="29" spans="1:9" s="81" customFormat="1" ht="24.6" hidden="1">
      <c r="A29" s="128" t="s">
        <v>145</v>
      </c>
      <c r="B29" s="4">
        <v>1</v>
      </c>
      <c r="C29" s="4">
        <v>5</v>
      </c>
      <c r="D29" s="5">
        <v>9980051200</v>
      </c>
      <c r="E29" s="6">
        <v>200</v>
      </c>
      <c r="F29" s="110">
        <f>G29+H29</f>
        <v>0</v>
      </c>
      <c r="G29" s="110">
        <v>0</v>
      </c>
      <c r="H29" s="110"/>
    </row>
    <row r="30" spans="1:9" ht="35.4">
      <c r="A30" s="129" t="s">
        <v>15</v>
      </c>
      <c r="B30" s="11">
        <v>1</v>
      </c>
      <c r="C30" s="11">
        <v>6</v>
      </c>
      <c r="D30" s="145" t="s">
        <v>146</v>
      </c>
      <c r="E30" s="12">
        <v>0</v>
      </c>
      <c r="F30" s="100">
        <f>SUM(F31:F33)</f>
        <v>3236</v>
      </c>
      <c r="G30" s="100">
        <f>SUM(G31:G33)</f>
        <v>3236</v>
      </c>
      <c r="H30" s="100">
        <f t="shared" ref="H30" si="6">SUM(H31:H33)</f>
        <v>0</v>
      </c>
    </row>
    <row r="31" spans="1:9" s="123" customFormat="1">
      <c r="A31" s="128" t="s">
        <v>11</v>
      </c>
      <c r="B31" s="4">
        <v>1</v>
      </c>
      <c r="C31" s="4">
        <v>6</v>
      </c>
      <c r="D31" s="5" t="s">
        <v>151</v>
      </c>
      <c r="E31" s="6">
        <v>100</v>
      </c>
      <c r="F31" s="110">
        <f>SUM(G31:H31)</f>
        <v>2869</v>
      </c>
      <c r="G31" s="200">
        <v>2869</v>
      </c>
      <c r="H31" s="110">
        <v>0</v>
      </c>
    </row>
    <row r="32" spans="1:9" s="123" customFormat="1">
      <c r="A32" s="128" t="s">
        <v>11</v>
      </c>
      <c r="B32" s="4">
        <v>1</v>
      </c>
      <c r="C32" s="4">
        <v>6</v>
      </c>
      <c r="D32" s="5" t="s">
        <v>151</v>
      </c>
      <c r="E32" s="6">
        <v>200</v>
      </c>
      <c r="F32" s="110">
        <f t="shared" ref="F32:F33" si="7">SUM(G32:H32)</f>
        <v>365</v>
      </c>
      <c r="G32" s="200">
        <v>365</v>
      </c>
      <c r="H32" s="110">
        <v>0</v>
      </c>
    </row>
    <row r="33" spans="1:9">
      <c r="A33" s="128" t="s">
        <v>11</v>
      </c>
      <c r="B33" s="4">
        <v>1</v>
      </c>
      <c r="C33" s="4">
        <v>6</v>
      </c>
      <c r="D33" s="5" t="s">
        <v>151</v>
      </c>
      <c r="E33" s="6">
        <v>800</v>
      </c>
      <c r="F33" s="110">
        <f t="shared" si="7"/>
        <v>2</v>
      </c>
      <c r="G33" s="200">
        <v>2</v>
      </c>
      <c r="H33" s="110">
        <v>0</v>
      </c>
    </row>
    <row r="34" spans="1:9" s="81" customFormat="1" ht="24" hidden="1">
      <c r="A34" s="34" t="s">
        <v>112</v>
      </c>
      <c r="B34" s="19">
        <v>1</v>
      </c>
      <c r="C34" s="19">
        <v>7</v>
      </c>
      <c r="D34" s="20">
        <v>0</v>
      </c>
      <c r="E34" s="21">
        <v>0</v>
      </c>
      <c r="F34" s="95">
        <f>SUM(F35:F36)</f>
        <v>0</v>
      </c>
      <c r="G34" s="95">
        <f t="shared" ref="G34:H34" si="8">SUM(G35:G36)</f>
        <v>0</v>
      </c>
      <c r="H34" s="95">
        <f t="shared" si="8"/>
        <v>0</v>
      </c>
    </row>
    <row r="35" spans="1:9" s="81" customFormat="1" ht="24.6" hidden="1">
      <c r="A35" s="30" t="s">
        <v>113</v>
      </c>
      <c r="B35" s="4">
        <v>1</v>
      </c>
      <c r="C35" s="4">
        <v>7</v>
      </c>
      <c r="D35" s="5">
        <v>200002</v>
      </c>
      <c r="E35" s="6">
        <v>240</v>
      </c>
      <c r="F35" s="94">
        <f t="shared" ref="F35:F36" si="9">SUM(G35:H35)</f>
        <v>0</v>
      </c>
      <c r="G35" s="94">
        <v>0</v>
      </c>
      <c r="H35" s="101">
        <v>0</v>
      </c>
    </row>
    <row r="36" spans="1:9" s="81" customFormat="1" ht="24.6" hidden="1">
      <c r="A36" s="33" t="s">
        <v>114</v>
      </c>
      <c r="B36" s="13">
        <v>1</v>
      </c>
      <c r="C36" s="13">
        <v>7</v>
      </c>
      <c r="D36" s="14">
        <v>200003</v>
      </c>
      <c r="E36" s="15">
        <v>240</v>
      </c>
      <c r="F36" s="102">
        <f t="shared" si="9"/>
        <v>0</v>
      </c>
      <c r="G36" s="102">
        <v>0</v>
      </c>
      <c r="H36" s="124">
        <v>0</v>
      </c>
    </row>
    <row r="37" spans="1:9" ht="15" hidden="1" customHeight="1">
      <c r="A37" s="129" t="s">
        <v>17</v>
      </c>
      <c r="B37" s="11">
        <v>1</v>
      </c>
      <c r="C37" s="11">
        <v>11</v>
      </c>
      <c r="D37" s="145" t="s">
        <v>146</v>
      </c>
      <c r="E37" s="12">
        <v>0</v>
      </c>
      <c r="F37" s="173">
        <f>SUM(F38:F39)</f>
        <v>0</v>
      </c>
      <c r="G37" s="173">
        <f>SUM(G38:G39)</f>
        <v>0</v>
      </c>
      <c r="H37" s="173">
        <f>SUM(H38:H39)</f>
        <v>0</v>
      </c>
    </row>
    <row r="38" spans="1:9" hidden="1">
      <c r="A38" s="128" t="s">
        <v>18</v>
      </c>
      <c r="B38" s="4">
        <v>1</v>
      </c>
      <c r="C38" s="4">
        <v>11</v>
      </c>
      <c r="D38" s="5" t="s">
        <v>154</v>
      </c>
      <c r="E38" s="6">
        <v>800</v>
      </c>
      <c r="F38" s="110">
        <f>SUM(G38:H38)</f>
        <v>0</v>
      </c>
      <c r="G38" s="200">
        <v>0</v>
      </c>
      <c r="H38" s="110"/>
    </row>
    <row r="39" spans="1:9" s="81" customFormat="1" ht="15.75" hidden="1" customHeight="1">
      <c r="A39" s="60" t="s">
        <v>143</v>
      </c>
      <c r="B39" s="4">
        <v>1</v>
      </c>
      <c r="C39" s="4">
        <v>11</v>
      </c>
      <c r="D39" s="5" t="s">
        <v>153</v>
      </c>
      <c r="E39" s="6">
        <v>800</v>
      </c>
      <c r="F39" s="110">
        <f>SUM(G39:H39)</f>
        <v>0</v>
      </c>
      <c r="G39" s="200"/>
      <c r="H39" s="110">
        <v>0</v>
      </c>
    </row>
    <row r="40" spans="1:9" ht="15" customHeight="1">
      <c r="A40" s="129" t="s">
        <v>19</v>
      </c>
      <c r="B40" s="11">
        <v>1</v>
      </c>
      <c r="C40" s="11">
        <v>13</v>
      </c>
      <c r="D40" s="145" t="s">
        <v>146</v>
      </c>
      <c r="E40" s="12">
        <v>0</v>
      </c>
      <c r="F40" s="173">
        <f>SUM(F41:F44)</f>
        <v>843.9</v>
      </c>
      <c r="G40" s="173">
        <f>SUM(G41:G44)</f>
        <v>656.9</v>
      </c>
      <c r="H40" s="173">
        <f>SUM(H41:H44)</f>
        <v>187</v>
      </c>
      <c r="I40" s="81"/>
    </row>
    <row r="41" spans="1:9">
      <c r="A41" s="128" t="s">
        <v>91</v>
      </c>
      <c r="B41" s="4">
        <v>1</v>
      </c>
      <c r="C41" s="4">
        <v>13</v>
      </c>
      <c r="D41" s="5">
        <v>9980077730</v>
      </c>
      <c r="E41" s="6">
        <v>200</v>
      </c>
      <c r="F41" s="110">
        <f>SUM(G41:H41)</f>
        <v>187</v>
      </c>
      <c r="G41" s="110">
        <v>0</v>
      </c>
      <c r="H41" s="110">
        <v>187</v>
      </c>
    </row>
    <row r="42" spans="1:9" s="81" customFormat="1">
      <c r="A42" s="128" t="s">
        <v>361</v>
      </c>
      <c r="B42" s="4">
        <v>1</v>
      </c>
      <c r="C42" s="4">
        <v>13</v>
      </c>
      <c r="D42" s="5" t="s">
        <v>154</v>
      </c>
      <c r="E42" s="6">
        <v>200</v>
      </c>
      <c r="F42" s="110">
        <f t="shared" ref="F42:F44" si="10">SUM(G42:H42)</f>
        <v>400</v>
      </c>
      <c r="G42" s="110">
        <v>400</v>
      </c>
      <c r="H42" s="110"/>
    </row>
    <row r="43" spans="1:9" s="81" customFormat="1">
      <c r="A43" s="128" t="s">
        <v>361</v>
      </c>
      <c r="B43" s="4">
        <v>1</v>
      </c>
      <c r="C43" s="4">
        <v>13</v>
      </c>
      <c r="D43" s="5" t="s">
        <v>153</v>
      </c>
      <c r="E43" s="6">
        <v>200</v>
      </c>
      <c r="F43" s="110">
        <f t="shared" si="10"/>
        <v>192</v>
      </c>
      <c r="G43" s="110">
        <v>192</v>
      </c>
      <c r="H43" s="110"/>
    </row>
    <row r="44" spans="1:9">
      <c r="A44" s="128" t="s">
        <v>260</v>
      </c>
      <c r="B44" s="4">
        <v>1</v>
      </c>
      <c r="C44" s="4">
        <v>13</v>
      </c>
      <c r="D44" s="5">
        <v>100199590</v>
      </c>
      <c r="E44" s="6">
        <v>200</v>
      </c>
      <c r="F44" s="110">
        <f t="shared" si="10"/>
        <v>64.900000000000006</v>
      </c>
      <c r="G44" s="110">
        <v>64.900000000000006</v>
      </c>
      <c r="H44" s="110">
        <v>0</v>
      </c>
    </row>
    <row r="45" spans="1:9" s="81" customFormat="1">
      <c r="A45" s="129" t="s">
        <v>115</v>
      </c>
      <c r="B45" s="11">
        <v>2</v>
      </c>
      <c r="C45" s="11">
        <v>0</v>
      </c>
      <c r="D45" s="145" t="s">
        <v>146</v>
      </c>
      <c r="E45" s="12">
        <v>0</v>
      </c>
      <c r="F45" s="173">
        <f>F46</f>
        <v>1299</v>
      </c>
      <c r="G45" s="173">
        <f t="shared" ref="G45:H46" si="11">G46</f>
        <v>0</v>
      </c>
      <c r="H45" s="173">
        <f t="shared" si="11"/>
        <v>1299</v>
      </c>
    </row>
    <row r="46" spans="1:9" s="81" customFormat="1">
      <c r="A46" s="70" t="s">
        <v>116</v>
      </c>
      <c r="B46" s="7">
        <v>2</v>
      </c>
      <c r="C46" s="7">
        <v>3</v>
      </c>
      <c r="D46" s="145" t="s">
        <v>146</v>
      </c>
      <c r="E46" s="43">
        <v>0</v>
      </c>
      <c r="F46" s="100">
        <f>F47</f>
        <v>1299</v>
      </c>
      <c r="G46" s="100">
        <f t="shared" si="11"/>
        <v>0</v>
      </c>
      <c r="H46" s="100">
        <f t="shared" si="11"/>
        <v>1299</v>
      </c>
    </row>
    <row r="47" spans="1:9" s="81" customFormat="1" ht="24">
      <c r="A47" s="60" t="s">
        <v>117</v>
      </c>
      <c r="B47" s="24">
        <v>2</v>
      </c>
      <c r="C47" s="24">
        <v>3</v>
      </c>
      <c r="D47" s="5">
        <v>9990051180</v>
      </c>
      <c r="E47" s="62">
        <v>500</v>
      </c>
      <c r="F47" s="110">
        <f t="shared" ref="F47" si="12">SUM(G47:H47)</f>
        <v>1299</v>
      </c>
      <c r="G47" s="110"/>
      <c r="H47" s="110">
        <v>1299</v>
      </c>
    </row>
    <row r="48" spans="1:9" ht="25.5" customHeight="1">
      <c r="A48" s="129" t="s">
        <v>24</v>
      </c>
      <c r="B48" s="11">
        <v>3</v>
      </c>
      <c r="C48" s="11">
        <v>0</v>
      </c>
      <c r="D48" s="145" t="s">
        <v>146</v>
      </c>
      <c r="E48" s="12">
        <v>0</v>
      </c>
      <c r="F48" s="173">
        <f t="shared" ref="F48:H48" si="13">F52+F49+F57</f>
        <v>3742</v>
      </c>
      <c r="G48" s="173">
        <f t="shared" si="13"/>
        <v>3742</v>
      </c>
      <c r="H48" s="173">
        <f t="shared" si="13"/>
        <v>0</v>
      </c>
    </row>
    <row r="49" spans="1:8" s="81" customFormat="1" hidden="1">
      <c r="A49" s="70" t="s">
        <v>138</v>
      </c>
      <c r="B49" s="7">
        <v>3</v>
      </c>
      <c r="C49" s="7">
        <v>4</v>
      </c>
      <c r="D49" s="145" t="s">
        <v>146</v>
      </c>
      <c r="E49" s="43">
        <v>0</v>
      </c>
      <c r="F49" s="100">
        <f>SUM(F50:F51)</f>
        <v>0</v>
      </c>
      <c r="G49" s="100">
        <f>SUM(G50:G51)</f>
        <v>0</v>
      </c>
      <c r="H49" s="100">
        <f>SUM(H50:H51)</f>
        <v>0</v>
      </c>
    </row>
    <row r="50" spans="1:8" s="81" customFormat="1" ht="25.5" hidden="1" customHeight="1">
      <c r="A50" s="128" t="s">
        <v>23</v>
      </c>
      <c r="B50" s="24">
        <v>3</v>
      </c>
      <c r="C50" s="24">
        <v>4</v>
      </c>
      <c r="D50" s="5">
        <v>9980059300</v>
      </c>
      <c r="E50" s="62">
        <v>100</v>
      </c>
      <c r="F50" s="110">
        <f>SUM(G50:H50)</f>
        <v>0</v>
      </c>
      <c r="G50" s="110">
        <v>0</v>
      </c>
      <c r="H50" s="110">
        <v>0</v>
      </c>
    </row>
    <row r="51" spans="1:8" s="81" customFormat="1" ht="25.5" hidden="1" customHeight="1">
      <c r="A51" s="128" t="s">
        <v>23</v>
      </c>
      <c r="B51" s="24">
        <v>3</v>
      </c>
      <c r="C51" s="24">
        <v>4</v>
      </c>
      <c r="D51" s="5">
        <v>9980059300</v>
      </c>
      <c r="E51" s="62">
        <v>200</v>
      </c>
      <c r="F51" s="110">
        <f>SUM(G51:H51)</f>
        <v>0</v>
      </c>
      <c r="G51" s="110">
        <v>0</v>
      </c>
      <c r="H51" s="110">
        <v>0</v>
      </c>
    </row>
    <row r="52" spans="1:8" ht="36.75" customHeight="1">
      <c r="A52" s="70" t="s">
        <v>25</v>
      </c>
      <c r="B52" s="7">
        <v>3</v>
      </c>
      <c r="C52" s="7">
        <v>9</v>
      </c>
      <c r="D52" s="145" t="s">
        <v>146</v>
      </c>
      <c r="E52" s="43">
        <v>0</v>
      </c>
      <c r="F52" s="100">
        <f>SUM(F53:F56)</f>
        <v>3192</v>
      </c>
      <c r="G52" s="100">
        <f>SUM(G53:G56)</f>
        <v>3192</v>
      </c>
      <c r="H52" s="100">
        <f t="shared" ref="H52" si="14">SUM(H53:H55)</f>
        <v>0</v>
      </c>
    </row>
    <row r="53" spans="1:8">
      <c r="A53" s="174" t="s">
        <v>26</v>
      </c>
      <c r="B53" s="24">
        <v>3</v>
      </c>
      <c r="C53" s="24">
        <v>9</v>
      </c>
      <c r="D53" s="5">
        <v>9940020990</v>
      </c>
      <c r="E53" s="62">
        <v>100</v>
      </c>
      <c r="F53" s="110">
        <f>SUM(G53:H53)</f>
        <v>1874.5</v>
      </c>
      <c r="G53" s="200">
        <v>1874.5</v>
      </c>
      <c r="H53" s="110"/>
    </row>
    <row r="54" spans="1:8" s="81" customFormat="1">
      <c r="A54" s="174" t="s">
        <v>26</v>
      </c>
      <c r="B54" s="24">
        <v>3</v>
      </c>
      <c r="C54" s="24">
        <v>9</v>
      </c>
      <c r="D54" s="5">
        <v>9940020990</v>
      </c>
      <c r="E54" s="62">
        <v>200</v>
      </c>
      <c r="F54" s="110">
        <f>SUM(G54:H54)</f>
        <v>242.5</v>
      </c>
      <c r="G54" s="200">
        <v>242.5</v>
      </c>
      <c r="H54" s="110"/>
    </row>
    <row r="55" spans="1:8" s="81" customFormat="1">
      <c r="A55" s="174" t="s">
        <v>26</v>
      </c>
      <c r="B55" s="24">
        <v>3</v>
      </c>
      <c r="C55" s="24">
        <v>9</v>
      </c>
      <c r="D55" s="5">
        <v>9940020990</v>
      </c>
      <c r="E55" s="62">
        <v>300</v>
      </c>
      <c r="F55" s="110">
        <f>SUM(G55:H55)</f>
        <v>25</v>
      </c>
      <c r="G55" s="202">
        <v>25</v>
      </c>
      <c r="H55" s="101"/>
    </row>
    <row r="56" spans="1:8" s="81" customFormat="1">
      <c r="A56" s="174" t="s">
        <v>26</v>
      </c>
      <c r="B56" s="24">
        <v>3</v>
      </c>
      <c r="C56" s="24">
        <v>9</v>
      </c>
      <c r="D56" s="5">
        <v>9940020990</v>
      </c>
      <c r="E56" s="271">
        <v>500</v>
      </c>
      <c r="F56" s="110">
        <f>SUM(G56:H56)</f>
        <v>1050</v>
      </c>
      <c r="G56" s="202">
        <v>1050</v>
      </c>
      <c r="H56" s="101"/>
    </row>
    <row r="57" spans="1:8" s="81" customFormat="1" ht="35.4">
      <c r="A57" s="157" t="s">
        <v>142</v>
      </c>
      <c r="B57" s="158" t="s">
        <v>89</v>
      </c>
      <c r="C57" s="158">
        <v>14</v>
      </c>
      <c r="D57" s="20">
        <v>0</v>
      </c>
      <c r="E57" s="21">
        <v>0</v>
      </c>
      <c r="F57" s="96">
        <f>F58</f>
        <v>550</v>
      </c>
      <c r="G57" s="96">
        <f t="shared" ref="G57:H57" si="15">G58</f>
        <v>550</v>
      </c>
      <c r="H57" s="96">
        <f t="shared" si="15"/>
        <v>0</v>
      </c>
    </row>
    <row r="58" spans="1:8" s="81" customFormat="1">
      <c r="A58" s="135" t="s">
        <v>31</v>
      </c>
      <c r="B58" s="154" t="s">
        <v>89</v>
      </c>
      <c r="C58" s="154">
        <v>14</v>
      </c>
      <c r="D58" s="14">
        <v>300000001</v>
      </c>
      <c r="E58" s="15">
        <v>240</v>
      </c>
      <c r="F58" s="124">
        <f>G58+H58</f>
        <v>550</v>
      </c>
      <c r="G58" s="124">
        <v>550</v>
      </c>
      <c r="H58" s="124">
        <v>0</v>
      </c>
    </row>
    <row r="59" spans="1:8" s="81" customFormat="1">
      <c r="A59" s="129" t="s">
        <v>27</v>
      </c>
      <c r="B59" s="11">
        <v>4</v>
      </c>
      <c r="C59" s="11">
        <v>0</v>
      </c>
      <c r="D59" s="145" t="s">
        <v>146</v>
      </c>
      <c r="E59" s="12">
        <v>0</v>
      </c>
      <c r="F59" s="173">
        <f>F64+F68</f>
        <v>12823.402</v>
      </c>
      <c r="G59" s="173">
        <f>G64+G68</f>
        <v>6920.9</v>
      </c>
      <c r="H59" s="173">
        <f>H64+H68</f>
        <v>5902.5020000000004</v>
      </c>
    </row>
    <row r="60" spans="1:8" s="81" customFormat="1" ht="24.75" hidden="1" customHeight="1">
      <c r="A60" s="34" t="s">
        <v>28</v>
      </c>
      <c r="B60" s="19">
        <v>4</v>
      </c>
      <c r="C60" s="19">
        <v>5</v>
      </c>
      <c r="D60" s="20">
        <v>0</v>
      </c>
      <c r="E60" s="21">
        <v>0</v>
      </c>
      <c r="F60" s="96">
        <f>SUM(F61:F62)</f>
        <v>0</v>
      </c>
      <c r="G60" s="96">
        <f>SUM(G61:G62)</f>
        <v>0</v>
      </c>
      <c r="H60" s="96">
        <f t="shared" ref="H60" si="16">SUM(H61:H61)</f>
        <v>0</v>
      </c>
    </row>
    <row r="61" spans="1:8" hidden="1">
      <c r="A61" s="30" t="s">
        <v>11</v>
      </c>
      <c r="B61" s="4">
        <v>4</v>
      </c>
      <c r="C61" s="4">
        <v>5</v>
      </c>
      <c r="D61" s="5">
        <v>20400</v>
      </c>
      <c r="E61" s="6">
        <v>100</v>
      </c>
      <c r="F61" s="98">
        <f>SUM(G61:H61)</f>
        <v>0</v>
      </c>
      <c r="G61" s="94">
        <v>0</v>
      </c>
      <c r="H61" s="94"/>
    </row>
    <row r="62" spans="1:8" s="81" customFormat="1" hidden="1">
      <c r="A62" s="30" t="s">
        <v>11</v>
      </c>
      <c r="B62" s="4">
        <v>4</v>
      </c>
      <c r="C62" s="4">
        <v>5</v>
      </c>
      <c r="D62" s="5">
        <v>20400</v>
      </c>
      <c r="E62" s="6">
        <v>200</v>
      </c>
      <c r="F62" s="98">
        <f>SUM(G62:H62)</f>
        <v>0</v>
      </c>
      <c r="G62" s="94">
        <v>0</v>
      </c>
      <c r="H62" s="94"/>
    </row>
    <row r="63" spans="1:8" s="81" customFormat="1" hidden="1">
      <c r="A63" s="33" t="s">
        <v>11</v>
      </c>
      <c r="B63" s="13">
        <v>4</v>
      </c>
      <c r="C63" s="13">
        <v>5</v>
      </c>
      <c r="D63" s="14">
        <v>20400</v>
      </c>
      <c r="E63" s="15">
        <v>800</v>
      </c>
      <c r="F63" s="110">
        <f>G63+H63</f>
        <v>0</v>
      </c>
      <c r="G63" s="124"/>
      <c r="H63" s="124"/>
    </row>
    <row r="64" spans="1:8" s="81" customFormat="1">
      <c r="A64" s="129" t="s">
        <v>136</v>
      </c>
      <c r="B64" s="11">
        <v>4</v>
      </c>
      <c r="C64" s="11">
        <v>9</v>
      </c>
      <c r="D64" s="145" t="s">
        <v>146</v>
      </c>
      <c r="E64" s="12">
        <v>0</v>
      </c>
      <c r="F64" s="100">
        <f t="shared" ref="F64:F65" si="17">G64+H64</f>
        <v>11923.402</v>
      </c>
      <c r="G64" s="100">
        <f>G66+G67+G65</f>
        <v>6020.9</v>
      </c>
      <c r="H64" s="100">
        <f t="shared" ref="H64" si="18">H66+H67+H65</f>
        <v>5902.5020000000004</v>
      </c>
    </row>
    <row r="65" spans="1:9" s="81" customFormat="1" ht="24.6">
      <c r="A65" s="128" t="s">
        <v>263</v>
      </c>
      <c r="B65" s="4">
        <v>4</v>
      </c>
      <c r="C65" s="4">
        <v>9</v>
      </c>
      <c r="D65" s="5">
        <v>1530053900</v>
      </c>
      <c r="E65" s="6">
        <v>500</v>
      </c>
      <c r="F65" s="110">
        <f t="shared" si="17"/>
        <v>5902.5020000000004</v>
      </c>
      <c r="G65" s="110"/>
      <c r="H65" s="110">
        <v>5902.5020000000004</v>
      </c>
    </row>
    <row r="66" spans="1:9" s="81" customFormat="1" ht="25.5" hidden="1" customHeight="1">
      <c r="A66" s="128" t="s">
        <v>137</v>
      </c>
      <c r="B66" s="4">
        <v>4</v>
      </c>
      <c r="C66" s="4">
        <v>9</v>
      </c>
      <c r="D66" s="5" t="s">
        <v>155</v>
      </c>
      <c r="E66" s="6">
        <v>200</v>
      </c>
      <c r="F66" s="110">
        <f t="shared" ref="F66" si="19">SUBTOTAL(9,G66:H66)</f>
        <v>0</v>
      </c>
      <c r="G66" s="200">
        <f>6116-6116</f>
        <v>0</v>
      </c>
      <c r="H66" s="110">
        <v>0</v>
      </c>
    </row>
    <row r="67" spans="1:9" s="81" customFormat="1" ht="24.6">
      <c r="A67" s="128" t="s">
        <v>137</v>
      </c>
      <c r="B67" s="4">
        <v>4</v>
      </c>
      <c r="C67" s="4">
        <v>9</v>
      </c>
      <c r="D67" s="5" t="s">
        <v>155</v>
      </c>
      <c r="E67" s="6">
        <v>400</v>
      </c>
      <c r="F67" s="110">
        <f t="shared" ref="F67:F69" si="20">G67+H67</f>
        <v>6020.9</v>
      </c>
      <c r="G67" s="200">
        <v>6020.9</v>
      </c>
      <c r="H67" s="110"/>
    </row>
    <row r="68" spans="1:9" s="81" customFormat="1">
      <c r="A68" s="129" t="s">
        <v>149</v>
      </c>
      <c r="B68" s="11">
        <v>4</v>
      </c>
      <c r="C68" s="11">
        <v>12</v>
      </c>
      <c r="D68" s="145" t="s">
        <v>146</v>
      </c>
      <c r="E68" s="12">
        <v>0</v>
      </c>
      <c r="F68" s="100">
        <f t="shared" si="20"/>
        <v>900</v>
      </c>
      <c r="G68" s="100">
        <f>G69</f>
        <v>900</v>
      </c>
      <c r="H68" s="100">
        <f>H69</f>
        <v>0</v>
      </c>
    </row>
    <row r="69" spans="1:9" s="81" customFormat="1">
      <c r="A69" s="128" t="s">
        <v>149</v>
      </c>
      <c r="B69" s="4">
        <v>4</v>
      </c>
      <c r="C69" s="4">
        <v>12</v>
      </c>
      <c r="D69" s="5">
        <v>0</v>
      </c>
      <c r="E69" s="6">
        <v>200</v>
      </c>
      <c r="F69" s="110">
        <f t="shared" si="20"/>
        <v>900</v>
      </c>
      <c r="G69" s="110">
        <v>900</v>
      </c>
      <c r="H69" s="110"/>
    </row>
    <row r="70" spans="1:9">
      <c r="A70" s="129" t="s">
        <v>29</v>
      </c>
      <c r="B70" s="11">
        <v>5</v>
      </c>
      <c r="C70" s="11">
        <v>0</v>
      </c>
      <c r="D70" s="145" t="s">
        <v>146</v>
      </c>
      <c r="E70" s="12">
        <v>0</v>
      </c>
      <c r="F70" s="173">
        <f>F71+F73+F76+F82</f>
        <v>14117.1</v>
      </c>
      <c r="G70" s="173">
        <f>G71+G73+G76+G82</f>
        <v>10433</v>
      </c>
      <c r="H70" s="173">
        <f t="shared" ref="H70" si="21">H71+H73+H76+H82</f>
        <v>3684.1</v>
      </c>
      <c r="I70" s="81"/>
    </row>
    <row r="71" spans="1:9" ht="15" hidden="1" customHeight="1">
      <c r="A71" s="34" t="s">
        <v>30</v>
      </c>
      <c r="B71" s="19">
        <v>5</v>
      </c>
      <c r="C71" s="19">
        <v>1</v>
      </c>
      <c r="D71" s="20">
        <v>0</v>
      </c>
      <c r="E71" s="21">
        <v>0</v>
      </c>
      <c r="F71" s="96">
        <f>SUM(F72:F72)</f>
        <v>0</v>
      </c>
      <c r="G71" s="96">
        <f t="shared" ref="G71:H71" si="22">SUM(G72:G72)</f>
        <v>0</v>
      </c>
      <c r="H71" s="96">
        <f t="shared" si="22"/>
        <v>0</v>
      </c>
    </row>
    <row r="72" spans="1:9" hidden="1">
      <c r="A72" s="35" t="s">
        <v>31</v>
      </c>
      <c r="B72" s="13">
        <v>5</v>
      </c>
      <c r="C72" s="13">
        <v>1</v>
      </c>
      <c r="D72" s="14">
        <v>7950000</v>
      </c>
      <c r="E72" s="15">
        <v>410</v>
      </c>
      <c r="F72" s="102">
        <f>SUM(G72:H72)</f>
        <v>0</v>
      </c>
      <c r="G72" s="102">
        <v>0</v>
      </c>
      <c r="H72" s="102">
        <v>0</v>
      </c>
    </row>
    <row r="73" spans="1:9" ht="15" customHeight="1">
      <c r="A73" s="129" t="s">
        <v>32</v>
      </c>
      <c r="B73" s="11">
        <v>5</v>
      </c>
      <c r="C73" s="11">
        <v>2</v>
      </c>
      <c r="D73" s="145" t="s">
        <v>146</v>
      </c>
      <c r="E73" s="12">
        <v>0</v>
      </c>
      <c r="F73" s="173">
        <f>SUM(F74:F75)</f>
        <v>3653</v>
      </c>
      <c r="G73" s="173">
        <f t="shared" ref="G73:H73" si="23">SUM(G74:G75)</f>
        <v>3653</v>
      </c>
      <c r="H73" s="173">
        <f t="shared" si="23"/>
        <v>0</v>
      </c>
    </row>
    <row r="74" spans="1:9">
      <c r="A74" s="128" t="s">
        <v>33</v>
      </c>
      <c r="B74" s="4">
        <v>5</v>
      </c>
      <c r="C74" s="4">
        <v>2</v>
      </c>
      <c r="D74" s="5">
        <v>9940023510</v>
      </c>
      <c r="E74" s="6">
        <v>200</v>
      </c>
      <c r="F74" s="110">
        <f t="shared" ref="F74:F75" si="24">SUM(G74:H74)</f>
        <v>2653</v>
      </c>
      <c r="G74" s="200">
        <v>2653</v>
      </c>
      <c r="H74" s="110">
        <v>0</v>
      </c>
    </row>
    <row r="75" spans="1:9">
      <c r="A75" s="135" t="s">
        <v>250</v>
      </c>
      <c r="B75" s="51">
        <v>5</v>
      </c>
      <c r="C75" s="51">
        <v>2</v>
      </c>
      <c r="D75" s="52">
        <v>9940023510</v>
      </c>
      <c r="E75" s="53">
        <v>500</v>
      </c>
      <c r="F75" s="124">
        <f t="shared" si="24"/>
        <v>1000</v>
      </c>
      <c r="G75" s="124">
        <v>1000</v>
      </c>
      <c r="H75" s="124">
        <v>0</v>
      </c>
    </row>
    <row r="76" spans="1:9">
      <c r="A76" s="129" t="s">
        <v>34</v>
      </c>
      <c r="B76" s="11">
        <v>5</v>
      </c>
      <c r="C76" s="11">
        <v>3</v>
      </c>
      <c r="D76" s="145" t="s">
        <v>146</v>
      </c>
      <c r="E76" s="12">
        <v>0</v>
      </c>
      <c r="F76" s="173">
        <f>G76+H76</f>
        <v>10464.1</v>
      </c>
      <c r="G76" s="173">
        <f>SUM(G77:G81)</f>
        <v>6780</v>
      </c>
      <c r="H76" s="173">
        <f>SUM(H77:H81)</f>
        <v>3684.1</v>
      </c>
      <c r="I76" s="81"/>
    </row>
    <row r="77" spans="1:9" s="81" customFormat="1" hidden="1">
      <c r="A77" s="128" t="s">
        <v>251</v>
      </c>
      <c r="B77" s="4">
        <v>5</v>
      </c>
      <c r="C77" s="4">
        <v>3</v>
      </c>
      <c r="D77" s="5" t="s">
        <v>254</v>
      </c>
      <c r="E77" s="6">
        <v>500</v>
      </c>
      <c r="F77" s="222">
        <f t="shared" ref="F77:F81" si="25">G77+H77</f>
        <v>0</v>
      </c>
      <c r="G77" s="222"/>
      <c r="H77" s="222"/>
    </row>
    <row r="78" spans="1:9">
      <c r="A78" s="128" t="s">
        <v>35</v>
      </c>
      <c r="B78" s="4">
        <v>5</v>
      </c>
      <c r="C78" s="4">
        <v>3</v>
      </c>
      <c r="D78" s="5" t="s">
        <v>155</v>
      </c>
      <c r="E78" s="6">
        <v>500</v>
      </c>
      <c r="F78" s="222">
        <f t="shared" si="25"/>
        <v>6480</v>
      </c>
      <c r="G78" s="110">
        <v>6480</v>
      </c>
      <c r="H78" s="110">
        <v>0</v>
      </c>
    </row>
    <row r="79" spans="1:9" s="81" customFormat="1" hidden="1">
      <c r="A79" s="128" t="s">
        <v>252</v>
      </c>
      <c r="B79" s="4">
        <v>5</v>
      </c>
      <c r="C79" s="4">
        <v>3</v>
      </c>
      <c r="D79" s="5" t="s">
        <v>255</v>
      </c>
      <c r="E79" s="6">
        <v>500</v>
      </c>
      <c r="F79" s="222">
        <f t="shared" si="25"/>
        <v>0</v>
      </c>
      <c r="G79" s="110"/>
      <c r="H79" s="110"/>
    </row>
    <row r="80" spans="1:9" s="81" customFormat="1" hidden="1">
      <c r="A80" s="128" t="s">
        <v>253</v>
      </c>
      <c r="B80" s="4">
        <v>5</v>
      </c>
      <c r="C80" s="4">
        <v>3</v>
      </c>
      <c r="D80" s="5" t="s">
        <v>256</v>
      </c>
      <c r="E80" s="6">
        <v>500</v>
      </c>
      <c r="F80" s="222">
        <f t="shared" si="25"/>
        <v>0</v>
      </c>
      <c r="G80" s="110"/>
      <c r="H80" s="110"/>
    </row>
    <row r="81" spans="1:10" s="81" customFormat="1" ht="24.6">
      <c r="A81" s="135" t="s">
        <v>242</v>
      </c>
      <c r="B81" s="51">
        <v>5</v>
      </c>
      <c r="C81" s="51">
        <v>3</v>
      </c>
      <c r="D81" s="52" t="s">
        <v>243</v>
      </c>
      <c r="E81" s="53">
        <v>414</v>
      </c>
      <c r="F81" s="222">
        <f t="shared" si="25"/>
        <v>3984.1</v>
      </c>
      <c r="G81" s="124">
        <v>300</v>
      </c>
      <c r="H81" s="124">
        <v>3684.1</v>
      </c>
    </row>
    <row r="82" spans="1:10" ht="24" hidden="1">
      <c r="A82" s="129" t="s">
        <v>36</v>
      </c>
      <c r="B82" s="11">
        <v>5</v>
      </c>
      <c r="C82" s="11">
        <v>5</v>
      </c>
      <c r="D82" s="145" t="s">
        <v>146</v>
      </c>
      <c r="E82" s="12">
        <v>0</v>
      </c>
      <c r="F82" s="173">
        <f>SUM(F83:F84)</f>
        <v>0</v>
      </c>
      <c r="G82" s="173">
        <f t="shared" ref="G82:H82" si="26">SUM(G83:G84)</f>
        <v>0</v>
      </c>
      <c r="H82" s="173">
        <f t="shared" si="26"/>
        <v>0</v>
      </c>
    </row>
    <row r="83" spans="1:10" hidden="1">
      <c r="A83" s="128" t="s">
        <v>37</v>
      </c>
      <c r="B83" s="4">
        <v>5</v>
      </c>
      <c r="C83" s="4">
        <v>5</v>
      </c>
      <c r="D83" s="5">
        <v>0</v>
      </c>
      <c r="E83" s="6">
        <v>600</v>
      </c>
      <c r="F83" s="110">
        <f t="shared" ref="F83:F84" si="27">SUM(G83:H83)</f>
        <v>0</v>
      </c>
      <c r="G83" s="110">
        <v>0</v>
      </c>
      <c r="H83" s="110"/>
    </row>
    <row r="84" spans="1:10" hidden="1">
      <c r="A84" s="159" t="s">
        <v>31</v>
      </c>
      <c r="B84" s="51">
        <v>5</v>
      </c>
      <c r="C84" s="51">
        <v>5</v>
      </c>
      <c r="D84" s="52">
        <v>7950000</v>
      </c>
      <c r="E84" s="53">
        <v>410</v>
      </c>
      <c r="F84" s="124">
        <f t="shared" si="27"/>
        <v>0</v>
      </c>
      <c r="G84" s="124">
        <f>ROUND([2]итог!F49/1000,1)</f>
        <v>0</v>
      </c>
      <c r="H84" s="103">
        <v>0</v>
      </c>
    </row>
    <row r="85" spans="1:10">
      <c r="A85" s="129" t="s">
        <v>38</v>
      </c>
      <c r="B85" s="11">
        <v>7</v>
      </c>
      <c r="C85" s="11">
        <v>0</v>
      </c>
      <c r="D85" s="145" t="s">
        <v>146</v>
      </c>
      <c r="E85" s="12">
        <v>0</v>
      </c>
      <c r="F85" s="173">
        <f>F86+F94+F127+F130+F110</f>
        <v>309328.68900000001</v>
      </c>
      <c r="G85" s="173">
        <f>G86+G94+G127+G130+G110</f>
        <v>78506.151000000013</v>
      </c>
      <c r="H85" s="173">
        <f>H86+H94+H127+H130+H110</f>
        <v>230822.538</v>
      </c>
      <c r="I85" s="81"/>
      <c r="J85" s="80"/>
    </row>
    <row r="86" spans="1:10" ht="15" customHeight="1">
      <c r="A86" s="129" t="s">
        <v>39</v>
      </c>
      <c r="B86" s="11">
        <v>7</v>
      </c>
      <c r="C86" s="11">
        <v>1</v>
      </c>
      <c r="D86" s="145" t="s">
        <v>146</v>
      </c>
      <c r="E86" s="12">
        <v>0</v>
      </c>
      <c r="F86" s="100">
        <f>SUM(F87:F93)</f>
        <v>91171.8</v>
      </c>
      <c r="G86" s="100">
        <f t="shared" ref="G86" si="28">SUM(G87:G93)</f>
        <v>31738.800000000003</v>
      </c>
      <c r="H86" s="100">
        <f>SUM(H87:H93)</f>
        <v>59433</v>
      </c>
      <c r="I86" s="81"/>
    </row>
    <row r="87" spans="1:10" s="81" customFormat="1" ht="15" customHeight="1">
      <c r="A87" s="128" t="s">
        <v>40</v>
      </c>
      <c r="B87" s="4">
        <v>7</v>
      </c>
      <c r="C87" s="4">
        <v>1</v>
      </c>
      <c r="D87" s="140" t="s">
        <v>148</v>
      </c>
      <c r="E87" s="6">
        <v>100</v>
      </c>
      <c r="F87" s="110">
        <f t="shared" ref="F87:F88" si="29">G87+H87</f>
        <v>59300.4</v>
      </c>
      <c r="G87" s="110">
        <v>0</v>
      </c>
      <c r="H87" s="110">
        <v>59300.4</v>
      </c>
    </row>
    <row r="88" spans="1:10" s="81" customFormat="1" ht="15" customHeight="1">
      <c r="A88" s="128" t="s">
        <v>40</v>
      </c>
      <c r="B88" s="4">
        <v>7</v>
      </c>
      <c r="C88" s="4">
        <v>1</v>
      </c>
      <c r="D88" s="140" t="s">
        <v>148</v>
      </c>
      <c r="E88" s="6">
        <v>200</v>
      </c>
      <c r="F88" s="110">
        <f t="shared" si="29"/>
        <v>132.6</v>
      </c>
      <c r="G88" s="110">
        <v>0</v>
      </c>
      <c r="H88" s="110">
        <v>132.6</v>
      </c>
    </row>
    <row r="89" spans="1:10">
      <c r="A89" s="128" t="s">
        <v>40</v>
      </c>
      <c r="B89" s="4">
        <v>7</v>
      </c>
      <c r="C89" s="4">
        <v>1</v>
      </c>
      <c r="D89" s="5" t="s">
        <v>156</v>
      </c>
      <c r="E89" s="6">
        <v>100</v>
      </c>
      <c r="F89" s="110">
        <f>G89+H89</f>
        <v>17733.7</v>
      </c>
      <c r="G89" s="200">
        <v>17733.7</v>
      </c>
      <c r="H89" s="110"/>
    </row>
    <row r="90" spans="1:10" s="81" customFormat="1">
      <c r="A90" s="128" t="s">
        <v>40</v>
      </c>
      <c r="B90" s="4">
        <v>7</v>
      </c>
      <c r="C90" s="4">
        <v>1</v>
      </c>
      <c r="D90" s="5" t="s">
        <v>156</v>
      </c>
      <c r="E90" s="6">
        <v>200</v>
      </c>
      <c r="F90" s="110">
        <f t="shared" ref="F90:F93" si="30">G90+H90</f>
        <v>13866.1</v>
      </c>
      <c r="G90" s="200">
        <v>13866.1</v>
      </c>
      <c r="H90" s="110"/>
    </row>
    <row r="91" spans="1:10" s="81" customFormat="1" hidden="1">
      <c r="A91" s="128" t="s">
        <v>40</v>
      </c>
      <c r="B91" s="4">
        <v>7</v>
      </c>
      <c r="C91" s="4">
        <v>1</v>
      </c>
      <c r="D91" s="5" t="s">
        <v>156</v>
      </c>
      <c r="E91" s="6">
        <v>200</v>
      </c>
      <c r="F91" s="110">
        <f t="shared" si="30"/>
        <v>0</v>
      </c>
      <c r="G91" s="110"/>
      <c r="H91" s="110"/>
    </row>
    <row r="92" spans="1:10" s="81" customFormat="1">
      <c r="A92" s="128" t="s">
        <v>40</v>
      </c>
      <c r="B92" s="4">
        <v>7</v>
      </c>
      <c r="C92" s="4">
        <v>1</v>
      </c>
      <c r="D92" s="5" t="s">
        <v>156</v>
      </c>
      <c r="E92" s="6">
        <v>800</v>
      </c>
      <c r="F92" s="110">
        <f t="shared" si="30"/>
        <v>139</v>
      </c>
      <c r="G92" s="200">
        <v>139</v>
      </c>
      <c r="H92" s="110">
        <v>0</v>
      </c>
    </row>
    <row r="93" spans="1:10" s="81" customFormat="1" hidden="1">
      <c r="A93" s="160" t="s">
        <v>31</v>
      </c>
      <c r="B93" s="51">
        <v>7</v>
      </c>
      <c r="C93" s="51">
        <v>1</v>
      </c>
      <c r="D93" s="52">
        <v>7950000</v>
      </c>
      <c r="E93" s="53">
        <v>410</v>
      </c>
      <c r="F93" s="124">
        <f t="shared" si="30"/>
        <v>0</v>
      </c>
      <c r="G93" s="124">
        <v>0</v>
      </c>
      <c r="H93" s="124">
        <v>0</v>
      </c>
    </row>
    <row r="94" spans="1:10" ht="15" customHeight="1">
      <c r="A94" s="129" t="s">
        <v>41</v>
      </c>
      <c r="B94" s="11">
        <v>7</v>
      </c>
      <c r="C94" s="11">
        <v>2</v>
      </c>
      <c r="D94" s="145" t="s">
        <v>146</v>
      </c>
      <c r="E94" s="12">
        <v>0</v>
      </c>
      <c r="F94" s="173">
        <f>F95+F107</f>
        <v>184402.11800000002</v>
      </c>
      <c r="G94" s="173">
        <f t="shared" ref="G94:H94" si="31">G95+G107</f>
        <v>13369.58</v>
      </c>
      <c r="H94" s="173">
        <f t="shared" si="31"/>
        <v>171032.538</v>
      </c>
      <c r="I94" s="81"/>
    </row>
    <row r="95" spans="1:10" s="81" customFormat="1" ht="15" customHeight="1">
      <c r="A95" s="129" t="s">
        <v>42</v>
      </c>
      <c r="B95" s="11">
        <v>7</v>
      </c>
      <c r="C95" s="11">
        <v>2</v>
      </c>
      <c r="D95" s="145" t="s">
        <v>146</v>
      </c>
      <c r="E95" s="12">
        <v>0</v>
      </c>
      <c r="F95" s="173">
        <f>SUM(F96:F106)</f>
        <v>184402.11800000002</v>
      </c>
      <c r="G95" s="173">
        <f t="shared" ref="G95:H95" si="32">SUM(G96:G106)</f>
        <v>13369.58</v>
      </c>
      <c r="H95" s="173">
        <f t="shared" si="32"/>
        <v>171032.538</v>
      </c>
    </row>
    <row r="96" spans="1:10" s="81" customFormat="1" ht="15" customHeight="1">
      <c r="A96" s="128" t="s">
        <v>42</v>
      </c>
      <c r="B96" s="4">
        <v>7</v>
      </c>
      <c r="C96" s="4">
        <v>2</v>
      </c>
      <c r="D96" s="5" t="s">
        <v>157</v>
      </c>
      <c r="E96" s="6">
        <v>100</v>
      </c>
      <c r="F96" s="110">
        <f>SUM(G96:H96)</f>
        <v>3754.6</v>
      </c>
      <c r="G96" s="222">
        <v>3754.6</v>
      </c>
      <c r="H96" s="173"/>
    </row>
    <row r="97" spans="1:8">
      <c r="A97" s="128" t="s">
        <v>42</v>
      </c>
      <c r="B97" s="4">
        <v>7</v>
      </c>
      <c r="C97" s="4">
        <v>2</v>
      </c>
      <c r="D97" s="5" t="s">
        <v>157</v>
      </c>
      <c r="E97" s="6">
        <v>200</v>
      </c>
      <c r="F97" s="110">
        <f>SUM(G97:H97)</f>
        <v>8819.98</v>
      </c>
      <c r="G97" s="200">
        <v>8819.98</v>
      </c>
      <c r="H97" s="110"/>
    </row>
    <row r="98" spans="1:8" s="81" customFormat="1">
      <c r="A98" s="128" t="s">
        <v>42</v>
      </c>
      <c r="B98" s="4">
        <v>7</v>
      </c>
      <c r="C98" s="4">
        <v>2</v>
      </c>
      <c r="D98" s="5" t="s">
        <v>157</v>
      </c>
      <c r="E98" s="6">
        <v>300</v>
      </c>
      <c r="F98" s="110">
        <f>SUM(G98:H98)</f>
        <v>388</v>
      </c>
      <c r="G98" s="200">
        <v>388</v>
      </c>
      <c r="H98" s="110"/>
    </row>
    <row r="99" spans="1:8" s="81" customFormat="1">
      <c r="A99" s="128" t="s">
        <v>42</v>
      </c>
      <c r="B99" s="4">
        <v>7</v>
      </c>
      <c r="C99" s="4">
        <v>2</v>
      </c>
      <c r="D99" s="5" t="s">
        <v>157</v>
      </c>
      <c r="E99" s="6">
        <v>800</v>
      </c>
      <c r="F99" s="110">
        <f>SUM(G99:H99)</f>
        <v>407</v>
      </c>
      <c r="G99" s="200">
        <v>407</v>
      </c>
      <c r="H99" s="110">
        <v>0</v>
      </c>
    </row>
    <row r="100" spans="1:8" s="81" customFormat="1" ht="24.6">
      <c r="A100" s="128" t="s">
        <v>244</v>
      </c>
      <c r="B100" s="4">
        <v>7</v>
      </c>
      <c r="C100" s="4">
        <v>2</v>
      </c>
      <c r="D100" s="5">
        <v>9990041120</v>
      </c>
      <c r="E100" s="6">
        <v>200</v>
      </c>
      <c r="F100" s="110">
        <f>SUM(G100:H100)</f>
        <v>4199.8999999999996</v>
      </c>
      <c r="G100" s="200"/>
      <c r="H100" s="110">
        <v>4199.8999999999996</v>
      </c>
    </row>
    <row r="101" spans="1:8" ht="36">
      <c r="A101" s="60" t="s">
        <v>43</v>
      </c>
      <c r="B101" s="4">
        <v>7</v>
      </c>
      <c r="C101" s="4">
        <v>2</v>
      </c>
      <c r="D101" s="5">
        <v>1920206590</v>
      </c>
      <c r="E101" s="6">
        <v>100</v>
      </c>
      <c r="F101" s="110">
        <f t="shared" ref="F101:F126" si="33">SUM(G101:H101)</f>
        <v>156883.9</v>
      </c>
      <c r="G101" s="110">
        <v>0</v>
      </c>
      <c r="H101" s="110">
        <v>156883.9</v>
      </c>
    </row>
    <row r="102" spans="1:8" s="81" customFormat="1" ht="36" hidden="1">
      <c r="A102" s="60" t="s">
        <v>43</v>
      </c>
      <c r="B102" s="4">
        <v>7</v>
      </c>
      <c r="C102" s="4">
        <v>2</v>
      </c>
      <c r="D102" s="5">
        <v>1920206590</v>
      </c>
      <c r="E102" s="6">
        <v>200</v>
      </c>
      <c r="F102" s="110">
        <f t="shared" si="33"/>
        <v>0</v>
      </c>
      <c r="G102" s="110">
        <v>0</v>
      </c>
      <c r="H102" s="110">
        <v>0</v>
      </c>
    </row>
    <row r="103" spans="1:8" s="81" customFormat="1" ht="36">
      <c r="A103" s="60" t="s">
        <v>175</v>
      </c>
      <c r="B103" s="4">
        <v>7</v>
      </c>
      <c r="C103" s="4">
        <v>2</v>
      </c>
      <c r="D103" s="5">
        <v>1920202590</v>
      </c>
      <c r="E103" s="6">
        <v>200</v>
      </c>
      <c r="F103" s="110">
        <f>G103+H103</f>
        <v>3357.5</v>
      </c>
      <c r="G103" s="110"/>
      <c r="H103" s="110">
        <v>3357.5</v>
      </c>
    </row>
    <row r="104" spans="1:8" s="81" customFormat="1" ht="36">
      <c r="A104" s="60" t="s">
        <v>351</v>
      </c>
      <c r="B104" s="4">
        <v>7</v>
      </c>
      <c r="C104" s="4">
        <v>2</v>
      </c>
      <c r="D104" s="5">
        <v>1920202590</v>
      </c>
      <c r="E104" s="6">
        <v>300</v>
      </c>
      <c r="F104" s="110">
        <f>G104+H104</f>
        <v>280.85000000000002</v>
      </c>
      <c r="G104" s="110"/>
      <c r="H104" s="110">
        <v>280.85000000000002</v>
      </c>
    </row>
    <row r="105" spans="1:8" s="81" customFormat="1">
      <c r="A105" s="60" t="s">
        <v>352</v>
      </c>
      <c r="B105" s="4">
        <v>7</v>
      </c>
      <c r="C105" s="4">
        <v>2</v>
      </c>
      <c r="D105" s="5" t="s">
        <v>353</v>
      </c>
      <c r="E105" s="6">
        <v>100</v>
      </c>
      <c r="F105" s="110">
        <f>G105+H105</f>
        <v>4065.1</v>
      </c>
      <c r="G105" s="110"/>
      <c r="H105" s="110">
        <f>4065.1</f>
        <v>4065.1</v>
      </c>
    </row>
    <row r="106" spans="1:8" s="81" customFormat="1">
      <c r="A106" s="60" t="s">
        <v>354</v>
      </c>
      <c r="B106" s="4">
        <v>7</v>
      </c>
      <c r="C106" s="4">
        <v>2</v>
      </c>
      <c r="D106" s="5" t="s">
        <v>355</v>
      </c>
      <c r="E106" s="6">
        <v>200</v>
      </c>
      <c r="F106" s="110">
        <f>G106+H106</f>
        <v>2245.288</v>
      </c>
      <c r="G106" s="110"/>
      <c r="H106" s="110">
        <v>2245.288</v>
      </c>
    </row>
    <row r="107" spans="1:8" s="81" customFormat="1" hidden="1">
      <c r="A107" s="129" t="s">
        <v>166</v>
      </c>
      <c r="B107" s="11">
        <v>7</v>
      </c>
      <c r="C107" s="11">
        <v>3</v>
      </c>
      <c r="D107" s="9" t="s">
        <v>169</v>
      </c>
      <c r="E107" s="21">
        <v>0</v>
      </c>
      <c r="F107" s="100">
        <f t="shared" ref="F107:F109" si="34">G107+H107</f>
        <v>0</v>
      </c>
      <c r="G107" s="100">
        <f>G108+G109</f>
        <v>0</v>
      </c>
      <c r="H107" s="100">
        <f>H108+H109</f>
        <v>0</v>
      </c>
    </row>
    <row r="108" spans="1:8" s="81" customFormat="1" hidden="1">
      <c r="A108" s="128" t="s">
        <v>166</v>
      </c>
      <c r="B108" s="4">
        <v>7</v>
      </c>
      <c r="C108" s="4">
        <v>2</v>
      </c>
      <c r="D108" s="5" t="s">
        <v>169</v>
      </c>
      <c r="E108" s="143">
        <v>100</v>
      </c>
      <c r="F108" s="110">
        <f t="shared" si="34"/>
        <v>0</v>
      </c>
      <c r="G108" s="110"/>
      <c r="H108" s="110"/>
    </row>
    <row r="109" spans="1:8" s="81" customFormat="1" hidden="1">
      <c r="A109" s="128" t="s">
        <v>166</v>
      </c>
      <c r="B109" s="4">
        <v>7</v>
      </c>
      <c r="C109" s="4">
        <v>2</v>
      </c>
      <c r="D109" s="5" t="s">
        <v>169</v>
      </c>
      <c r="E109" s="143">
        <v>200</v>
      </c>
      <c r="F109" s="110">
        <f t="shared" si="34"/>
        <v>0</v>
      </c>
      <c r="G109" s="110"/>
      <c r="H109" s="110"/>
    </row>
    <row r="110" spans="1:8" s="81" customFormat="1" ht="24">
      <c r="A110" s="129" t="s">
        <v>44</v>
      </c>
      <c r="B110" s="11">
        <v>7</v>
      </c>
      <c r="C110" s="11">
        <v>3</v>
      </c>
      <c r="D110" s="9">
        <v>9994239900</v>
      </c>
      <c r="E110" s="12">
        <v>0</v>
      </c>
      <c r="F110" s="100">
        <f>G110+H110</f>
        <v>26987.871000000003</v>
      </c>
      <c r="G110" s="100">
        <f>SUM(G111:G124)</f>
        <v>26987.871000000003</v>
      </c>
      <c r="H110" s="100">
        <f>SUM(H111:H124)</f>
        <v>0</v>
      </c>
    </row>
    <row r="111" spans="1:8">
      <c r="A111" s="128" t="s">
        <v>165</v>
      </c>
      <c r="B111" s="4">
        <v>7</v>
      </c>
      <c r="C111" s="4">
        <v>3</v>
      </c>
      <c r="D111" s="5" t="s">
        <v>168</v>
      </c>
      <c r="E111" s="6">
        <v>100</v>
      </c>
      <c r="F111" s="110">
        <f t="shared" si="33"/>
        <v>9451</v>
      </c>
      <c r="G111" s="200">
        <v>9451</v>
      </c>
      <c r="H111" s="110">
        <f>173.8+103.2-277</f>
        <v>0</v>
      </c>
    </row>
    <row r="112" spans="1:8" s="81" customFormat="1">
      <c r="A112" s="128" t="s">
        <v>165</v>
      </c>
      <c r="B112" s="4">
        <v>7</v>
      </c>
      <c r="C112" s="4">
        <v>3</v>
      </c>
      <c r="D112" s="5" t="s">
        <v>168</v>
      </c>
      <c r="E112" s="6">
        <v>200</v>
      </c>
      <c r="F112" s="110">
        <f t="shared" si="33"/>
        <v>738</v>
      </c>
      <c r="G112" s="200">
        <v>738</v>
      </c>
      <c r="H112" s="110"/>
    </row>
    <row r="113" spans="1:8" s="81" customFormat="1">
      <c r="A113" s="128" t="s">
        <v>165</v>
      </c>
      <c r="B113" s="4">
        <v>7</v>
      </c>
      <c r="C113" s="4">
        <v>3</v>
      </c>
      <c r="D113" s="5" t="s">
        <v>168</v>
      </c>
      <c r="E113" s="6">
        <v>600</v>
      </c>
      <c r="F113" s="110">
        <f t="shared" si="33"/>
        <v>5809.31</v>
      </c>
      <c r="G113" s="110">
        <v>5809.31</v>
      </c>
      <c r="H113" s="110"/>
    </row>
    <row r="114" spans="1:8" s="81" customFormat="1">
      <c r="A114" s="128" t="s">
        <v>165</v>
      </c>
      <c r="B114" s="4">
        <v>7</v>
      </c>
      <c r="C114" s="4">
        <v>3</v>
      </c>
      <c r="D114" s="5" t="s">
        <v>168</v>
      </c>
      <c r="E114" s="6">
        <v>800</v>
      </c>
      <c r="F114" s="110">
        <f t="shared" si="33"/>
        <v>18.399999999999999</v>
      </c>
      <c r="G114" s="200">
        <v>18.399999999999999</v>
      </c>
      <c r="H114" s="110">
        <v>0</v>
      </c>
    </row>
    <row r="115" spans="1:8" s="81" customFormat="1">
      <c r="A115" s="128" t="s">
        <v>166</v>
      </c>
      <c r="B115" s="4">
        <v>7</v>
      </c>
      <c r="C115" s="4">
        <v>2</v>
      </c>
      <c r="D115" s="5" t="s">
        <v>169</v>
      </c>
      <c r="E115" s="143">
        <v>100</v>
      </c>
      <c r="F115" s="110">
        <f t="shared" ref="F115:F116" si="35">SUM(G115:H115)</f>
        <v>2053.511</v>
      </c>
      <c r="G115" s="202">
        <v>2053.511</v>
      </c>
      <c r="H115" s="101"/>
    </row>
    <row r="116" spans="1:8" s="81" customFormat="1">
      <c r="A116" s="128" t="s">
        <v>166</v>
      </c>
      <c r="B116" s="4">
        <v>7</v>
      </c>
      <c r="C116" s="4">
        <v>2</v>
      </c>
      <c r="D116" s="5" t="s">
        <v>169</v>
      </c>
      <c r="E116" s="143">
        <v>200</v>
      </c>
      <c r="F116" s="110">
        <f t="shared" si="35"/>
        <v>30</v>
      </c>
      <c r="G116" s="202">
        <v>30</v>
      </c>
      <c r="H116" s="101"/>
    </row>
    <row r="117" spans="1:8" s="81" customFormat="1">
      <c r="A117" s="128" t="s">
        <v>166</v>
      </c>
      <c r="B117" s="4">
        <v>7</v>
      </c>
      <c r="C117" s="4">
        <v>3</v>
      </c>
      <c r="D117" s="5" t="s">
        <v>169</v>
      </c>
      <c r="E117" s="143">
        <v>100</v>
      </c>
      <c r="F117" s="110">
        <f t="shared" si="33"/>
        <v>3303.97</v>
      </c>
      <c r="G117" s="202">
        <v>3303.97</v>
      </c>
      <c r="H117" s="101">
        <f>103.2-103.2</f>
        <v>0</v>
      </c>
    </row>
    <row r="118" spans="1:8" s="81" customFormat="1">
      <c r="A118" s="128" t="s">
        <v>166</v>
      </c>
      <c r="B118" s="4">
        <v>7</v>
      </c>
      <c r="C118" s="4">
        <v>3</v>
      </c>
      <c r="D118" s="5" t="s">
        <v>169</v>
      </c>
      <c r="E118" s="143">
        <v>200</v>
      </c>
      <c r="F118" s="110">
        <f t="shared" si="33"/>
        <v>47.34</v>
      </c>
      <c r="G118" s="202">
        <v>47.34</v>
      </c>
      <c r="H118" s="101">
        <v>0</v>
      </c>
    </row>
    <row r="119" spans="1:8" s="81" customFormat="1" hidden="1">
      <c r="A119" s="128" t="s">
        <v>166</v>
      </c>
      <c r="B119" s="4">
        <v>7</v>
      </c>
      <c r="C119" s="4">
        <v>3</v>
      </c>
      <c r="D119" s="5" t="s">
        <v>169</v>
      </c>
      <c r="E119" s="143">
        <v>800</v>
      </c>
      <c r="F119" s="110">
        <f t="shared" si="33"/>
        <v>0</v>
      </c>
      <c r="G119" s="202">
        <v>0</v>
      </c>
      <c r="H119" s="101">
        <v>0</v>
      </c>
    </row>
    <row r="120" spans="1:8" s="81" customFormat="1" hidden="1">
      <c r="A120" s="128" t="s">
        <v>166</v>
      </c>
      <c r="B120" s="4">
        <v>7</v>
      </c>
      <c r="C120" s="4">
        <v>3</v>
      </c>
      <c r="D120" s="5" t="s">
        <v>169</v>
      </c>
      <c r="E120" s="143">
        <v>400</v>
      </c>
      <c r="F120" s="110">
        <f t="shared" si="33"/>
        <v>0</v>
      </c>
      <c r="G120" s="101"/>
      <c r="H120" s="101"/>
    </row>
    <row r="121" spans="1:8" s="81" customFormat="1">
      <c r="A121" s="128" t="s">
        <v>167</v>
      </c>
      <c r="B121" s="4">
        <v>7</v>
      </c>
      <c r="C121" s="4">
        <v>3</v>
      </c>
      <c r="D121" s="5" t="s">
        <v>170</v>
      </c>
      <c r="E121" s="143">
        <v>100</v>
      </c>
      <c r="F121" s="110">
        <f t="shared" si="33"/>
        <v>3069.5</v>
      </c>
      <c r="G121" s="202">
        <v>3069.5</v>
      </c>
      <c r="H121" s="101">
        <f>75.4-75.4</f>
        <v>0</v>
      </c>
    </row>
    <row r="122" spans="1:8" s="81" customFormat="1">
      <c r="A122" s="128" t="s">
        <v>167</v>
      </c>
      <c r="B122" s="4">
        <v>7</v>
      </c>
      <c r="C122" s="4">
        <v>3</v>
      </c>
      <c r="D122" s="5" t="s">
        <v>170</v>
      </c>
      <c r="E122" s="143">
        <v>200</v>
      </c>
      <c r="F122" s="110">
        <f t="shared" si="33"/>
        <v>295.39999999999998</v>
      </c>
      <c r="G122" s="202">
        <v>295.39999999999998</v>
      </c>
      <c r="H122" s="101"/>
    </row>
    <row r="123" spans="1:8" s="81" customFormat="1">
      <c r="A123" s="128" t="s">
        <v>167</v>
      </c>
      <c r="B123" s="4">
        <v>7</v>
      </c>
      <c r="C123" s="4">
        <v>3</v>
      </c>
      <c r="D123" s="5" t="s">
        <v>170</v>
      </c>
      <c r="E123" s="143">
        <v>600</v>
      </c>
      <c r="F123" s="110">
        <f t="shared" si="33"/>
        <v>2165.44</v>
      </c>
      <c r="G123" s="101">
        <v>2165.44</v>
      </c>
      <c r="H123" s="101"/>
    </row>
    <row r="124" spans="1:8" s="81" customFormat="1">
      <c r="A124" s="128" t="s">
        <v>167</v>
      </c>
      <c r="B124" s="4">
        <v>7</v>
      </c>
      <c r="C124" s="4">
        <v>3</v>
      </c>
      <c r="D124" s="5" t="s">
        <v>170</v>
      </c>
      <c r="E124" s="143">
        <v>800</v>
      </c>
      <c r="F124" s="110">
        <f t="shared" si="33"/>
        <v>6</v>
      </c>
      <c r="G124" s="101">
        <v>6</v>
      </c>
      <c r="H124" s="101">
        <v>0</v>
      </c>
    </row>
    <row r="125" spans="1:8" ht="36" hidden="1">
      <c r="A125" s="161" t="s">
        <v>45</v>
      </c>
      <c r="B125" s="142">
        <v>7</v>
      </c>
      <c r="C125" s="142">
        <v>2</v>
      </c>
      <c r="D125" s="162">
        <v>4361200</v>
      </c>
      <c r="E125" s="143">
        <v>200</v>
      </c>
      <c r="F125" s="101">
        <f t="shared" si="33"/>
        <v>0</v>
      </c>
      <c r="G125" s="101">
        <v>0</v>
      </c>
      <c r="H125" s="101">
        <v>0</v>
      </c>
    </row>
    <row r="126" spans="1:8" hidden="1">
      <c r="A126" s="37" t="s">
        <v>31</v>
      </c>
      <c r="B126" s="13">
        <v>7</v>
      </c>
      <c r="C126" s="13">
        <v>2</v>
      </c>
      <c r="D126" s="14">
        <v>7950000</v>
      </c>
      <c r="E126" s="15">
        <v>410</v>
      </c>
      <c r="F126" s="102">
        <f t="shared" si="33"/>
        <v>0</v>
      </c>
      <c r="G126" s="102">
        <v>0</v>
      </c>
      <c r="H126" s="102">
        <v>0</v>
      </c>
    </row>
    <row r="127" spans="1:8">
      <c r="A127" s="129" t="s">
        <v>46</v>
      </c>
      <c r="B127" s="11">
        <v>7</v>
      </c>
      <c r="C127" s="11">
        <v>7</v>
      </c>
      <c r="D127" s="145" t="s">
        <v>146</v>
      </c>
      <c r="E127" s="12">
        <v>0</v>
      </c>
      <c r="F127" s="100">
        <f>SUM(F128:F129)</f>
        <v>500</v>
      </c>
      <c r="G127" s="100">
        <f t="shared" ref="G127:H127" si="36">SUM(G128:G129)</f>
        <v>500</v>
      </c>
      <c r="H127" s="100">
        <f t="shared" si="36"/>
        <v>0</v>
      </c>
    </row>
    <row r="128" spans="1:8">
      <c r="A128" s="128" t="s">
        <v>47</v>
      </c>
      <c r="B128" s="4">
        <v>7</v>
      </c>
      <c r="C128" s="4">
        <v>7</v>
      </c>
      <c r="D128" s="5" t="s">
        <v>158</v>
      </c>
      <c r="E128" s="6">
        <v>200</v>
      </c>
      <c r="F128" s="110">
        <f t="shared" ref="F128:F129" si="37">SUM(G128:H128)</f>
        <v>500</v>
      </c>
      <c r="G128" s="200">
        <v>500</v>
      </c>
      <c r="H128" s="110">
        <v>0</v>
      </c>
    </row>
    <row r="129" spans="1:9" hidden="1">
      <c r="A129" s="160" t="s">
        <v>31</v>
      </c>
      <c r="B129" s="51">
        <v>7</v>
      </c>
      <c r="C129" s="51">
        <v>7</v>
      </c>
      <c r="D129" s="52">
        <v>7950000</v>
      </c>
      <c r="E129" s="53">
        <v>410</v>
      </c>
      <c r="F129" s="124">
        <f t="shared" si="37"/>
        <v>0</v>
      </c>
      <c r="G129" s="124">
        <f>ROUND([2]итог!F61/1000,1)</f>
        <v>0</v>
      </c>
      <c r="H129" s="124">
        <v>0</v>
      </c>
    </row>
    <row r="130" spans="1:9" ht="15" customHeight="1">
      <c r="A130" s="129" t="s">
        <v>48</v>
      </c>
      <c r="B130" s="11">
        <v>7</v>
      </c>
      <c r="C130" s="11">
        <v>9</v>
      </c>
      <c r="D130" s="145" t="s">
        <v>146</v>
      </c>
      <c r="E130" s="12">
        <v>0</v>
      </c>
      <c r="F130" s="173">
        <f>SUM(F131:F142)</f>
        <v>6266.9</v>
      </c>
      <c r="G130" s="173">
        <f>SUM(G131:G142)</f>
        <v>5909.9</v>
      </c>
      <c r="H130" s="173">
        <f>SUM(H131:H142)</f>
        <v>357</v>
      </c>
      <c r="I130" s="81"/>
    </row>
    <row r="131" spans="1:9">
      <c r="A131" s="128" t="s">
        <v>11</v>
      </c>
      <c r="B131" s="4">
        <v>7</v>
      </c>
      <c r="C131" s="4">
        <v>9</v>
      </c>
      <c r="D131" s="5" t="s">
        <v>151</v>
      </c>
      <c r="E131" s="6">
        <v>100</v>
      </c>
      <c r="F131" s="110">
        <f t="shared" ref="F131:F142" si="38">SUM(G131:H131)</f>
        <v>1359.8</v>
      </c>
      <c r="G131" s="200">
        <v>1359.8</v>
      </c>
      <c r="H131" s="110">
        <v>0</v>
      </c>
    </row>
    <row r="132" spans="1:9" s="81" customFormat="1">
      <c r="A132" s="128" t="s">
        <v>11</v>
      </c>
      <c r="B132" s="4">
        <v>7</v>
      </c>
      <c r="C132" s="4">
        <v>9</v>
      </c>
      <c r="D132" s="5" t="s">
        <v>151</v>
      </c>
      <c r="E132" s="6">
        <v>200</v>
      </c>
      <c r="F132" s="110">
        <f t="shared" si="38"/>
        <v>28.1</v>
      </c>
      <c r="G132" s="200">
        <v>28.1</v>
      </c>
      <c r="H132" s="110">
        <v>0</v>
      </c>
    </row>
    <row r="133" spans="1:9" s="81" customFormat="1" hidden="1">
      <c r="A133" s="135" t="s">
        <v>11</v>
      </c>
      <c r="B133" s="51">
        <v>7</v>
      </c>
      <c r="C133" s="51">
        <v>9</v>
      </c>
      <c r="D133" s="52">
        <v>20400</v>
      </c>
      <c r="E133" s="53">
        <v>800</v>
      </c>
      <c r="F133" s="124">
        <f t="shared" si="38"/>
        <v>0</v>
      </c>
      <c r="G133" s="124">
        <v>0</v>
      </c>
      <c r="H133" s="124">
        <v>0</v>
      </c>
    </row>
    <row r="134" spans="1:9" ht="24.6">
      <c r="A134" s="128" t="s">
        <v>21</v>
      </c>
      <c r="B134" s="4">
        <v>7</v>
      </c>
      <c r="C134" s="4">
        <v>9</v>
      </c>
      <c r="D134" s="5">
        <v>9980077740</v>
      </c>
      <c r="E134" s="6">
        <v>100</v>
      </c>
      <c r="F134" s="110">
        <f t="shared" si="38"/>
        <v>300</v>
      </c>
      <c r="G134" s="110">
        <v>0</v>
      </c>
      <c r="H134" s="110">
        <f>221+79</f>
        <v>300</v>
      </c>
    </row>
    <row r="135" spans="1:9" s="81" customFormat="1" ht="24.6">
      <c r="A135" s="128" t="s">
        <v>21</v>
      </c>
      <c r="B135" s="4">
        <v>7</v>
      </c>
      <c r="C135" s="4">
        <v>9</v>
      </c>
      <c r="D135" s="5">
        <v>9980077740</v>
      </c>
      <c r="E135" s="6">
        <v>200</v>
      </c>
      <c r="F135" s="110">
        <f t="shared" ref="F135" si="39">SUM(G135:H135)</f>
        <v>57</v>
      </c>
      <c r="G135" s="110">
        <v>0</v>
      </c>
      <c r="H135" s="110">
        <v>57</v>
      </c>
    </row>
    <row r="136" spans="1:9">
      <c r="A136" s="175" t="s">
        <v>172</v>
      </c>
      <c r="B136" s="4">
        <v>7</v>
      </c>
      <c r="C136" s="4">
        <v>9</v>
      </c>
      <c r="D136" s="5" t="s">
        <v>171</v>
      </c>
      <c r="E136" s="6">
        <v>100</v>
      </c>
      <c r="F136" s="110">
        <f>SUM(G136:H136)</f>
        <v>3333.2</v>
      </c>
      <c r="G136" s="200">
        <v>3333.2</v>
      </c>
      <c r="H136" s="110">
        <f>44.6-44.6</f>
        <v>0</v>
      </c>
    </row>
    <row r="137" spans="1:9" s="81" customFormat="1">
      <c r="A137" s="175" t="s">
        <v>172</v>
      </c>
      <c r="B137" s="4">
        <v>7</v>
      </c>
      <c r="C137" s="4">
        <v>9</v>
      </c>
      <c r="D137" s="5" t="s">
        <v>171</v>
      </c>
      <c r="E137" s="6">
        <v>200</v>
      </c>
      <c r="F137" s="110">
        <f t="shared" si="38"/>
        <v>868.8</v>
      </c>
      <c r="G137" s="200">
        <v>868.8</v>
      </c>
      <c r="H137" s="110">
        <v>0</v>
      </c>
    </row>
    <row r="138" spans="1:9" s="81" customFormat="1">
      <c r="A138" s="175" t="s">
        <v>172</v>
      </c>
      <c r="B138" s="4">
        <v>7</v>
      </c>
      <c r="C138" s="4">
        <v>9</v>
      </c>
      <c r="D138" s="5" t="s">
        <v>171</v>
      </c>
      <c r="E138" s="6">
        <v>800</v>
      </c>
      <c r="F138" s="110">
        <f t="shared" si="38"/>
        <v>20</v>
      </c>
      <c r="G138" s="200">
        <v>20</v>
      </c>
      <c r="H138" s="110">
        <v>0</v>
      </c>
    </row>
    <row r="139" spans="1:9" s="81" customFormat="1" hidden="1">
      <c r="A139" s="175" t="s">
        <v>173</v>
      </c>
      <c r="B139" s="4">
        <v>7</v>
      </c>
      <c r="C139" s="4">
        <v>9</v>
      </c>
      <c r="D139" s="5" t="s">
        <v>174</v>
      </c>
      <c r="E139" s="6">
        <v>100</v>
      </c>
      <c r="F139" s="110">
        <f t="shared" si="38"/>
        <v>0</v>
      </c>
      <c r="G139" s="110">
        <v>0</v>
      </c>
      <c r="H139" s="110">
        <v>0</v>
      </c>
    </row>
    <row r="140" spans="1:9" s="81" customFormat="1" hidden="1">
      <c r="A140" s="175" t="s">
        <v>173</v>
      </c>
      <c r="B140" s="4">
        <v>7</v>
      </c>
      <c r="C140" s="4">
        <v>9</v>
      </c>
      <c r="D140" s="5" t="s">
        <v>174</v>
      </c>
      <c r="E140" s="6">
        <v>200</v>
      </c>
      <c r="F140" s="110">
        <f t="shared" si="38"/>
        <v>0</v>
      </c>
      <c r="G140" s="110"/>
      <c r="H140" s="110">
        <v>0</v>
      </c>
    </row>
    <row r="141" spans="1:9" s="81" customFormat="1" hidden="1">
      <c r="A141" s="175" t="s">
        <v>173</v>
      </c>
      <c r="B141" s="4">
        <v>7</v>
      </c>
      <c r="C141" s="4">
        <v>9</v>
      </c>
      <c r="D141" s="5" t="s">
        <v>174</v>
      </c>
      <c r="E141" s="6">
        <v>800</v>
      </c>
      <c r="F141" s="110">
        <f t="shared" si="38"/>
        <v>0</v>
      </c>
      <c r="G141" s="110">
        <v>0</v>
      </c>
      <c r="H141" s="110">
        <v>0</v>
      </c>
    </row>
    <row r="142" spans="1:9">
      <c r="A142" s="60" t="s">
        <v>31</v>
      </c>
      <c r="B142" s="4">
        <v>7</v>
      </c>
      <c r="C142" s="4">
        <v>9</v>
      </c>
      <c r="D142" s="5" t="s">
        <v>159</v>
      </c>
      <c r="E142" s="6">
        <v>100</v>
      </c>
      <c r="F142" s="110">
        <f t="shared" si="38"/>
        <v>300</v>
      </c>
      <c r="G142" s="110">
        <f>(300)</f>
        <v>300</v>
      </c>
      <c r="H142" s="110"/>
    </row>
    <row r="143" spans="1:9" ht="15.75" customHeight="1">
      <c r="A143" s="129" t="s">
        <v>92</v>
      </c>
      <c r="B143" s="11">
        <v>8</v>
      </c>
      <c r="C143" s="11">
        <v>0</v>
      </c>
      <c r="D143" s="145" t="s">
        <v>146</v>
      </c>
      <c r="E143" s="12">
        <v>0</v>
      </c>
      <c r="F143" s="173">
        <f>F144+F158+F156</f>
        <v>19074</v>
      </c>
      <c r="G143" s="173">
        <f>G144+G158+G156</f>
        <v>19074</v>
      </c>
      <c r="H143" s="173">
        <f>H144+H158+H156</f>
        <v>0</v>
      </c>
    </row>
    <row r="144" spans="1:9" ht="18" customHeight="1">
      <c r="A144" s="129" t="s">
        <v>50</v>
      </c>
      <c r="B144" s="11">
        <v>8</v>
      </c>
      <c r="C144" s="11">
        <v>1</v>
      </c>
      <c r="D144" s="145" t="s">
        <v>146</v>
      </c>
      <c r="E144" s="12">
        <v>0</v>
      </c>
      <c r="F144" s="173">
        <f>SUM(F145:F155)</f>
        <v>18540</v>
      </c>
      <c r="G144" s="173">
        <f t="shared" ref="G144:H144" si="40">SUM(G145:G155)</f>
        <v>18540</v>
      </c>
      <c r="H144" s="173">
        <f t="shared" si="40"/>
        <v>0</v>
      </c>
    </row>
    <row r="145" spans="1:8" s="81" customFormat="1" ht="18" hidden="1" customHeight="1">
      <c r="A145" s="129" t="s">
        <v>247</v>
      </c>
      <c r="B145" s="11">
        <v>8</v>
      </c>
      <c r="C145" s="11">
        <v>1</v>
      </c>
      <c r="D145" s="145" t="s">
        <v>246</v>
      </c>
      <c r="E145" s="12">
        <v>200</v>
      </c>
      <c r="F145" s="100">
        <f t="shared" ref="F145:F155" si="41">SUM(G145:H145)</f>
        <v>0</v>
      </c>
      <c r="G145" s="173">
        <v>0</v>
      </c>
      <c r="H145" s="173">
        <v>0</v>
      </c>
    </row>
    <row r="146" spans="1:8">
      <c r="A146" s="128" t="s">
        <v>51</v>
      </c>
      <c r="B146" s="4">
        <v>8</v>
      </c>
      <c r="C146" s="4">
        <v>1</v>
      </c>
      <c r="D146" s="5" t="s">
        <v>160</v>
      </c>
      <c r="E146" s="6">
        <v>100</v>
      </c>
      <c r="F146" s="110">
        <f t="shared" si="41"/>
        <v>2776</v>
      </c>
      <c r="G146" s="200">
        <v>2776</v>
      </c>
      <c r="H146" s="110">
        <f>48.9-48.9</f>
        <v>0</v>
      </c>
    </row>
    <row r="147" spans="1:8" s="81" customFormat="1" hidden="1">
      <c r="A147" s="163" t="s">
        <v>51</v>
      </c>
      <c r="B147" s="142">
        <v>8</v>
      </c>
      <c r="C147" s="142">
        <v>1</v>
      </c>
      <c r="D147" s="5" t="s">
        <v>160</v>
      </c>
      <c r="E147" s="143">
        <v>200</v>
      </c>
      <c r="F147" s="101">
        <f t="shared" si="41"/>
        <v>0</v>
      </c>
      <c r="G147" s="202">
        <v>0</v>
      </c>
      <c r="H147" s="101">
        <v>0</v>
      </c>
    </row>
    <row r="148" spans="1:8" s="81" customFormat="1" hidden="1">
      <c r="A148" s="33" t="s">
        <v>51</v>
      </c>
      <c r="B148" s="13">
        <v>8</v>
      </c>
      <c r="C148" s="13">
        <v>1</v>
      </c>
      <c r="D148" s="5" t="s">
        <v>160</v>
      </c>
      <c r="E148" s="15">
        <v>800</v>
      </c>
      <c r="F148" s="102">
        <f t="shared" si="41"/>
        <v>0</v>
      </c>
      <c r="G148" s="102">
        <v>0</v>
      </c>
      <c r="H148" s="102">
        <v>0</v>
      </c>
    </row>
    <row r="149" spans="1:8">
      <c r="A149" s="128" t="s">
        <v>52</v>
      </c>
      <c r="B149" s="4">
        <v>8</v>
      </c>
      <c r="C149" s="4">
        <v>1</v>
      </c>
      <c r="D149" s="5" t="s">
        <v>161</v>
      </c>
      <c r="E149" s="6">
        <v>100</v>
      </c>
      <c r="F149" s="110">
        <f t="shared" si="41"/>
        <v>3437</v>
      </c>
      <c r="G149" s="200">
        <v>3437</v>
      </c>
      <c r="H149" s="110">
        <f>97.7-97.7</f>
        <v>0</v>
      </c>
    </row>
    <row r="150" spans="1:8" s="81" customFormat="1">
      <c r="A150" s="128" t="s">
        <v>52</v>
      </c>
      <c r="B150" s="4">
        <v>8</v>
      </c>
      <c r="C150" s="4">
        <v>1</v>
      </c>
      <c r="D150" s="5" t="s">
        <v>161</v>
      </c>
      <c r="E150" s="6">
        <v>200</v>
      </c>
      <c r="F150" s="110">
        <f t="shared" si="41"/>
        <v>30</v>
      </c>
      <c r="G150" s="200">
        <v>30</v>
      </c>
      <c r="H150" s="110">
        <v>0</v>
      </c>
    </row>
    <row r="151" spans="1:8" s="81" customFormat="1" hidden="1">
      <c r="A151" s="135" t="s">
        <v>52</v>
      </c>
      <c r="B151" s="51">
        <v>8</v>
      </c>
      <c r="C151" s="51">
        <v>1</v>
      </c>
      <c r="D151" s="5" t="s">
        <v>161</v>
      </c>
      <c r="E151" s="53">
        <v>800</v>
      </c>
      <c r="F151" s="124">
        <v>0</v>
      </c>
      <c r="G151" s="124">
        <v>0</v>
      </c>
      <c r="H151" s="124">
        <v>0</v>
      </c>
    </row>
    <row r="152" spans="1:8" ht="24.6">
      <c r="A152" s="128" t="s">
        <v>53</v>
      </c>
      <c r="B152" s="4">
        <v>8</v>
      </c>
      <c r="C152" s="4">
        <v>1</v>
      </c>
      <c r="D152" s="5" t="s">
        <v>162</v>
      </c>
      <c r="E152" s="6">
        <v>100</v>
      </c>
      <c r="F152" s="110">
        <f t="shared" si="41"/>
        <v>11498</v>
      </c>
      <c r="G152" s="200">
        <v>11498</v>
      </c>
      <c r="H152" s="176">
        <f>317.6-317.6</f>
        <v>0</v>
      </c>
    </row>
    <row r="153" spans="1:8" s="81" customFormat="1" ht="24.6">
      <c r="A153" s="128" t="s">
        <v>53</v>
      </c>
      <c r="B153" s="4">
        <v>8</v>
      </c>
      <c r="C153" s="4">
        <v>1</v>
      </c>
      <c r="D153" s="5" t="s">
        <v>162</v>
      </c>
      <c r="E153" s="6">
        <v>200</v>
      </c>
      <c r="F153" s="110">
        <f t="shared" si="41"/>
        <v>767</v>
      </c>
      <c r="G153" s="200">
        <v>767</v>
      </c>
      <c r="H153" s="176">
        <v>0</v>
      </c>
    </row>
    <row r="154" spans="1:8" s="81" customFormat="1" ht="24.6">
      <c r="A154" s="163" t="s">
        <v>53</v>
      </c>
      <c r="B154" s="142">
        <v>8</v>
      </c>
      <c r="C154" s="142">
        <v>1</v>
      </c>
      <c r="D154" s="5" t="s">
        <v>162</v>
      </c>
      <c r="E154" s="143">
        <v>800</v>
      </c>
      <c r="F154" s="101">
        <f t="shared" si="41"/>
        <v>32</v>
      </c>
      <c r="G154" s="202">
        <v>32</v>
      </c>
      <c r="H154" s="164">
        <v>0</v>
      </c>
    </row>
    <row r="155" spans="1:8" ht="41.25" hidden="1" customHeight="1">
      <c r="A155" s="36" t="s">
        <v>119</v>
      </c>
      <c r="B155" s="4">
        <v>8</v>
      </c>
      <c r="C155" s="4">
        <v>1</v>
      </c>
      <c r="D155" s="5">
        <v>4400000000</v>
      </c>
      <c r="E155" s="6">
        <v>240</v>
      </c>
      <c r="F155" s="94">
        <f t="shared" si="41"/>
        <v>0</v>
      </c>
      <c r="G155" s="94">
        <f>ROUND([2]итог!F72/1000,1)</f>
        <v>0</v>
      </c>
      <c r="H155" s="104">
        <v>0</v>
      </c>
    </row>
    <row r="156" spans="1:8" s="81" customFormat="1" hidden="1">
      <c r="A156" s="131" t="s">
        <v>139</v>
      </c>
      <c r="B156" s="11">
        <v>8</v>
      </c>
      <c r="C156" s="11">
        <v>1</v>
      </c>
      <c r="D156" s="9">
        <v>4500000000</v>
      </c>
      <c r="E156" s="12">
        <v>0</v>
      </c>
      <c r="F156" s="98">
        <f>G156+H156</f>
        <v>0</v>
      </c>
      <c r="G156" s="98">
        <f>G157</f>
        <v>0</v>
      </c>
      <c r="H156" s="132">
        <f>H157</f>
        <v>0</v>
      </c>
    </row>
    <row r="157" spans="1:8" s="81" customFormat="1" hidden="1">
      <c r="A157" s="37" t="s">
        <v>140</v>
      </c>
      <c r="B157" s="13">
        <v>8</v>
      </c>
      <c r="C157" s="13">
        <v>1</v>
      </c>
      <c r="D157" s="14">
        <v>4500000000</v>
      </c>
      <c r="E157" s="15">
        <v>200</v>
      </c>
      <c r="F157" s="102">
        <f>G157+H157</f>
        <v>0</v>
      </c>
      <c r="G157" s="102">
        <v>0</v>
      </c>
      <c r="H157" s="155">
        <v>0</v>
      </c>
    </row>
    <row r="158" spans="1:8" ht="24">
      <c r="A158" s="129" t="s">
        <v>93</v>
      </c>
      <c r="B158" s="11">
        <v>8</v>
      </c>
      <c r="C158" s="11">
        <v>4</v>
      </c>
      <c r="D158" s="145" t="s">
        <v>146</v>
      </c>
      <c r="E158" s="12">
        <v>0</v>
      </c>
      <c r="F158" s="100">
        <f>SUM(F159:F162)</f>
        <v>534</v>
      </c>
      <c r="G158" s="100">
        <f t="shared" ref="G158:H158" si="42">SUM(G159:G162)</f>
        <v>534</v>
      </c>
      <c r="H158" s="100">
        <f t="shared" si="42"/>
        <v>0</v>
      </c>
    </row>
    <row r="159" spans="1:8">
      <c r="A159" s="128" t="s">
        <v>11</v>
      </c>
      <c r="B159" s="4">
        <v>8</v>
      </c>
      <c r="C159" s="4">
        <v>4</v>
      </c>
      <c r="D159" s="5" t="s">
        <v>151</v>
      </c>
      <c r="E159" s="6">
        <v>100</v>
      </c>
      <c r="F159" s="110">
        <f t="shared" ref="F159:F162" si="43">SUM(G159:H159)</f>
        <v>513</v>
      </c>
      <c r="G159" s="200">
        <v>513</v>
      </c>
      <c r="H159" s="176">
        <v>0</v>
      </c>
    </row>
    <row r="160" spans="1:8" s="81" customFormat="1">
      <c r="A160" s="128" t="s">
        <v>11</v>
      </c>
      <c r="B160" s="4">
        <v>8</v>
      </c>
      <c r="C160" s="4">
        <v>4</v>
      </c>
      <c r="D160" s="5" t="s">
        <v>151</v>
      </c>
      <c r="E160" s="6">
        <v>200</v>
      </c>
      <c r="F160" s="110">
        <f t="shared" si="43"/>
        <v>21</v>
      </c>
      <c r="G160" s="200">
        <v>21</v>
      </c>
      <c r="H160" s="176">
        <v>0</v>
      </c>
    </row>
    <row r="161" spans="1:8" ht="36" hidden="1">
      <c r="A161" s="165" t="s">
        <v>49</v>
      </c>
      <c r="B161" s="142">
        <v>8</v>
      </c>
      <c r="C161" s="142">
        <v>4</v>
      </c>
      <c r="D161" s="162">
        <v>4529900</v>
      </c>
      <c r="E161" s="143"/>
      <c r="F161" s="101">
        <f t="shared" si="43"/>
        <v>0</v>
      </c>
      <c r="G161" s="101">
        <v>0</v>
      </c>
      <c r="H161" s="101">
        <v>0</v>
      </c>
    </row>
    <row r="162" spans="1:8" hidden="1">
      <c r="A162" s="37" t="s">
        <v>31</v>
      </c>
      <c r="B162" s="13">
        <v>8</v>
      </c>
      <c r="C162" s="13">
        <v>4</v>
      </c>
      <c r="D162" s="14">
        <v>7950000</v>
      </c>
      <c r="E162" s="15"/>
      <c r="F162" s="94">
        <f t="shared" si="43"/>
        <v>0</v>
      </c>
      <c r="G162" s="94">
        <v>0</v>
      </c>
      <c r="H162" s="102">
        <v>0</v>
      </c>
    </row>
    <row r="163" spans="1:8" ht="15" hidden="1" thickBot="1">
      <c r="A163" s="29" t="s">
        <v>94</v>
      </c>
      <c r="B163" s="1">
        <v>9</v>
      </c>
      <c r="C163" s="1">
        <v>0</v>
      </c>
      <c r="D163" s="2">
        <v>0</v>
      </c>
      <c r="E163" s="3">
        <v>0</v>
      </c>
      <c r="F163" s="93">
        <f>F164+F167+F172+F175</f>
        <v>0</v>
      </c>
      <c r="G163" s="93">
        <f t="shared" ref="G163:H163" si="44">G164+G167+G172+G175</f>
        <v>0</v>
      </c>
      <c r="H163" s="93">
        <f t="shared" si="44"/>
        <v>0</v>
      </c>
    </row>
    <row r="164" spans="1:8" ht="15" hidden="1" customHeight="1">
      <c r="A164" s="34" t="s">
        <v>56</v>
      </c>
      <c r="B164" s="19">
        <v>9</v>
      </c>
      <c r="C164" s="19">
        <v>1</v>
      </c>
      <c r="D164" s="20">
        <v>0</v>
      </c>
      <c r="E164" s="21">
        <v>0</v>
      </c>
      <c r="F164" s="96">
        <f>SUM(F165:F166)</f>
        <v>0</v>
      </c>
      <c r="G164" s="96">
        <f t="shared" ref="G164:H164" si="45">SUM(G165:G166)</f>
        <v>0</v>
      </c>
      <c r="H164" s="96">
        <f t="shared" si="45"/>
        <v>0</v>
      </c>
    </row>
    <row r="165" spans="1:8" hidden="1">
      <c r="A165" s="30" t="s">
        <v>57</v>
      </c>
      <c r="B165" s="4">
        <v>9</v>
      </c>
      <c r="C165" s="4">
        <v>1</v>
      </c>
      <c r="D165" s="5">
        <v>4709900</v>
      </c>
      <c r="E165" s="6"/>
      <c r="F165" s="94">
        <f t="shared" ref="F165:F166" si="46">SUM(G165:H165)</f>
        <v>0</v>
      </c>
      <c r="G165" s="94"/>
      <c r="H165" s="94"/>
    </row>
    <row r="166" spans="1:8" hidden="1">
      <c r="A166" s="83" t="s">
        <v>62</v>
      </c>
      <c r="B166" s="4">
        <v>9</v>
      </c>
      <c r="C166" s="4">
        <v>1</v>
      </c>
      <c r="D166" s="5">
        <v>4709900</v>
      </c>
      <c r="E166" s="6"/>
      <c r="F166" s="94">
        <f t="shared" si="46"/>
        <v>0</v>
      </c>
      <c r="G166" s="94"/>
      <c r="H166" s="94"/>
    </row>
    <row r="167" spans="1:8" ht="15" hidden="1" customHeight="1">
      <c r="A167" s="32" t="s">
        <v>59</v>
      </c>
      <c r="B167" s="11">
        <v>9</v>
      </c>
      <c r="C167" s="11">
        <v>2</v>
      </c>
      <c r="D167" s="9">
        <v>0</v>
      </c>
      <c r="E167" s="12">
        <v>0</v>
      </c>
      <c r="F167" s="97">
        <f>SUM(F168:F171)</f>
        <v>0</v>
      </c>
      <c r="G167" s="97">
        <f t="shared" ref="G167:H167" si="47">SUM(G168:G171)</f>
        <v>0</v>
      </c>
      <c r="H167" s="97">
        <f t="shared" si="47"/>
        <v>0</v>
      </c>
    </row>
    <row r="168" spans="1:8" hidden="1">
      <c r="A168" s="30" t="s">
        <v>60</v>
      </c>
      <c r="B168" s="4">
        <v>9</v>
      </c>
      <c r="C168" s="4">
        <v>2</v>
      </c>
      <c r="D168" s="5">
        <v>4719900</v>
      </c>
      <c r="E168" s="6"/>
      <c r="F168" s="94">
        <f t="shared" ref="F168:F171" si="48">SUM(G168:H168)</f>
        <v>0</v>
      </c>
      <c r="G168" s="94"/>
      <c r="H168" s="94"/>
    </row>
    <row r="169" spans="1:8" hidden="1">
      <c r="A169" s="30" t="s">
        <v>61</v>
      </c>
      <c r="B169" s="4">
        <v>9</v>
      </c>
      <c r="C169" s="4">
        <v>2</v>
      </c>
      <c r="D169" s="5">
        <v>4789900</v>
      </c>
      <c r="E169" s="6"/>
      <c r="F169" s="94">
        <f t="shared" si="48"/>
        <v>0</v>
      </c>
      <c r="G169" s="94"/>
      <c r="H169" s="94">
        <f>ROUND([3]итог!F85/1000,1)</f>
        <v>0</v>
      </c>
    </row>
    <row r="170" spans="1:8" ht="48" hidden="1">
      <c r="A170" s="36" t="s">
        <v>58</v>
      </c>
      <c r="B170" s="4">
        <v>9</v>
      </c>
      <c r="C170" s="4">
        <v>2</v>
      </c>
      <c r="D170" s="5">
        <v>4719900</v>
      </c>
      <c r="E170" s="6"/>
      <c r="F170" s="94">
        <f t="shared" si="48"/>
        <v>0</v>
      </c>
      <c r="G170" s="94"/>
      <c r="H170" s="94"/>
    </row>
    <row r="171" spans="1:8" hidden="1">
      <c r="A171" s="30" t="s">
        <v>31</v>
      </c>
      <c r="B171" s="4">
        <v>9</v>
      </c>
      <c r="C171" s="4">
        <v>2</v>
      </c>
      <c r="D171" s="5">
        <v>7950000</v>
      </c>
      <c r="E171" s="6"/>
      <c r="F171" s="94">
        <f t="shared" si="48"/>
        <v>0</v>
      </c>
      <c r="G171" s="94"/>
      <c r="H171" s="94"/>
    </row>
    <row r="172" spans="1:8" ht="39.75" hidden="1" customHeight="1">
      <c r="A172" s="32" t="s">
        <v>62</v>
      </c>
      <c r="B172" s="11">
        <v>9</v>
      </c>
      <c r="C172" s="11">
        <v>4</v>
      </c>
      <c r="D172" s="9">
        <v>0</v>
      </c>
      <c r="E172" s="12">
        <v>0</v>
      </c>
      <c r="F172" s="99">
        <f t="shared" ref="F172:H172" si="49">SUM(F173:F174)</f>
        <v>0</v>
      </c>
      <c r="G172" s="99">
        <f t="shared" si="49"/>
        <v>0</v>
      </c>
      <c r="H172" s="99">
        <f t="shared" si="49"/>
        <v>0</v>
      </c>
    </row>
    <row r="173" spans="1:8" hidden="1">
      <c r="A173" s="36" t="s">
        <v>62</v>
      </c>
      <c r="B173" s="4">
        <v>9</v>
      </c>
      <c r="C173" s="4">
        <v>4</v>
      </c>
      <c r="D173" s="5">
        <v>4709900</v>
      </c>
      <c r="E173" s="6"/>
      <c r="F173" s="94">
        <f t="shared" ref="F173:F174" si="50">SUM(G173:H173)</f>
        <v>0</v>
      </c>
      <c r="G173" s="94"/>
      <c r="H173" s="105"/>
    </row>
    <row r="174" spans="1:8" ht="41.25" hidden="1" customHeight="1">
      <c r="A174" s="36" t="s">
        <v>58</v>
      </c>
      <c r="B174" s="4">
        <v>9</v>
      </c>
      <c r="C174" s="4">
        <v>4</v>
      </c>
      <c r="D174" s="5">
        <v>4709900</v>
      </c>
      <c r="E174" s="6"/>
      <c r="F174" s="94">
        <f t="shared" si="50"/>
        <v>0</v>
      </c>
      <c r="G174" s="94"/>
      <c r="H174" s="105"/>
    </row>
    <row r="175" spans="1:8" ht="15" hidden="1" customHeight="1">
      <c r="A175" s="32" t="s">
        <v>63</v>
      </c>
      <c r="B175" s="11">
        <v>9</v>
      </c>
      <c r="C175" s="11">
        <v>9</v>
      </c>
      <c r="D175" s="9">
        <v>0</v>
      </c>
      <c r="E175" s="12">
        <v>0</v>
      </c>
      <c r="F175" s="97">
        <f>SUM(F176:F176)</f>
        <v>0</v>
      </c>
      <c r="G175" s="97">
        <f t="shared" ref="G175:H175" si="51">SUM(G176:G176)</f>
        <v>0</v>
      </c>
      <c r="H175" s="97">
        <f t="shared" si="51"/>
        <v>0</v>
      </c>
    </row>
    <row r="176" spans="1:8" hidden="1">
      <c r="A176" s="33" t="s">
        <v>31</v>
      </c>
      <c r="B176" s="13">
        <v>9</v>
      </c>
      <c r="C176" s="13">
        <v>9</v>
      </c>
      <c r="D176" s="14">
        <v>7950000</v>
      </c>
      <c r="E176" s="15"/>
      <c r="F176" s="102">
        <f>SUM(G176:H176)</f>
        <v>0</v>
      </c>
      <c r="G176" s="102"/>
      <c r="H176" s="102"/>
    </row>
    <row r="177" spans="1:9" ht="15.75" customHeight="1">
      <c r="A177" s="70" t="s">
        <v>64</v>
      </c>
      <c r="B177" s="7">
        <v>10</v>
      </c>
      <c r="C177" s="7">
        <v>0</v>
      </c>
      <c r="D177" s="145" t="s">
        <v>146</v>
      </c>
      <c r="E177" s="43">
        <v>0</v>
      </c>
      <c r="F177" s="173">
        <f>F178+F180+F183</f>
        <v>10634.599999999999</v>
      </c>
      <c r="G177" s="173">
        <f>G178+G180+G183</f>
        <v>1104.0999999999999</v>
      </c>
      <c r="H177" s="173">
        <f>H178+H180+H183</f>
        <v>9530.4999999999982</v>
      </c>
      <c r="I177" s="81"/>
    </row>
    <row r="178" spans="1:9" ht="15" customHeight="1">
      <c r="A178" s="70" t="s">
        <v>65</v>
      </c>
      <c r="B178" s="7">
        <v>10</v>
      </c>
      <c r="C178" s="7">
        <v>1</v>
      </c>
      <c r="D178" s="145" t="s">
        <v>146</v>
      </c>
      <c r="E178" s="43">
        <v>0</v>
      </c>
      <c r="F178" s="173">
        <f>SUM(F179)</f>
        <v>1104.0999999999999</v>
      </c>
      <c r="G178" s="173">
        <f t="shared" ref="G178:H178" si="52">SUM(G179)</f>
        <v>1104.0999999999999</v>
      </c>
      <c r="H178" s="173">
        <f t="shared" si="52"/>
        <v>0</v>
      </c>
    </row>
    <row r="179" spans="1:9" ht="24.6">
      <c r="A179" s="174" t="s">
        <v>66</v>
      </c>
      <c r="B179" s="24">
        <v>10</v>
      </c>
      <c r="C179" s="24">
        <v>1</v>
      </c>
      <c r="D179" s="177" t="s">
        <v>350</v>
      </c>
      <c r="E179" s="62">
        <v>312</v>
      </c>
      <c r="F179" s="110">
        <f>SUM(G179:H179)</f>
        <v>1104.0999999999999</v>
      </c>
      <c r="G179" s="200">
        <v>1104.0999999999999</v>
      </c>
      <c r="H179" s="110">
        <v>0</v>
      </c>
    </row>
    <row r="180" spans="1:9" hidden="1">
      <c r="A180" s="70" t="s">
        <v>67</v>
      </c>
      <c r="B180" s="7">
        <v>10</v>
      </c>
      <c r="C180" s="7">
        <v>3</v>
      </c>
      <c r="D180" s="145" t="s">
        <v>146</v>
      </c>
      <c r="E180" s="43">
        <v>0</v>
      </c>
      <c r="F180" s="173">
        <f>SUM(F181:F182)</f>
        <v>0</v>
      </c>
      <c r="G180" s="173">
        <f>SUM(G181:G182)</f>
        <v>0</v>
      </c>
      <c r="H180" s="173">
        <f>SUM(H181:H182)</f>
        <v>0</v>
      </c>
    </row>
    <row r="181" spans="1:9" ht="24" hidden="1">
      <c r="A181" s="160" t="s">
        <v>95</v>
      </c>
      <c r="B181" s="166">
        <v>10</v>
      </c>
      <c r="C181" s="167">
        <v>3</v>
      </c>
      <c r="D181" s="168">
        <v>5054600</v>
      </c>
      <c r="E181" s="169"/>
      <c r="F181" s="124">
        <f t="shared" ref="F181:F182" si="53">SUM(G181:H181)</f>
        <v>0</v>
      </c>
      <c r="G181" s="124"/>
      <c r="H181" s="124">
        <f>ROUND([3]итог!F97/1000,1)</f>
        <v>0</v>
      </c>
    </row>
    <row r="182" spans="1:9" ht="36" hidden="1">
      <c r="A182" s="60" t="s">
        <v>68</v>
      </c>
      <c r="B182" s="24">
        <v>10</v>
      </c>
      <c r="C182" s="24">
        <v>3</v>
      </c>
      <c r="D182" s="177">
        <v>2210872011</v>
      </c>
      <c r="E182" s="62">
        <v>600</v>
      </c>
      <c r="F182" s="110">
        <f t="shared" si="53"/>
        <v>0</v>
      </c>
      <c r="G182" s="110">
        <v>0</v>
      </c>
      <c r="H182" s="110"/>
    </row>
    <row r="183" spans="1:9">
      <c r="A183" s="31" t="s">
        <v>69</v>
      </c>
      <c r="B183" s="7">
        <v>10</v>
      </c>
      <c r="C183" s="8">
        <v>4</v>
      </c>
      <c r="D183" s="50">
        <v>0</v>
      </c>
      <c r="E183" s="10">
        <v>0</v>
      </c>
      <c r="F183" s="98">
        <f>SUM(F184:F186)</f>
        <v>9530.4999999999982</v>
      </c>
      <c r="G183" s="98">
        <f t="shared" ref="G183:H183" si="54">SUM(G184:G186)</f>
        <v>0</v>
      </c>
      <c r="H183" s="98">
        <f t="shared" si="54"/>
        <v>9530.4999999999982</v>
      </c>
    </row>
    <row r="184" spans="1:9" s="81" customFormat="1" ht="48">
      <c r="A184" s="36" t="s">
        <v>96</v>
      </c>
      <c r="B184" s="24">
        <v>10</v>
      </c>
      <c r="C184" s="25">
        <v>4</v>
      </c>
      <c r="D184" s="26">
        <v>2250050820</v>
      </c>
      <c r="E184" s="27">
        <v>400</v>
      </c>
      <c r="F184" s="94">
        <f>SUM(G184:H184)</f>
        <v>502.7</v>
      </c>
      <c r="G184" s="94"/>
      <c r="H184" s="94">
        <v>502.7</v>
      </c>
    </row>
    <row r="185" spans="1:9" s="81" customFormat="1" ht="48">
      <c r="A185" s="36" t="s">
        <v>96</v>
      </c>
      <c r="B185" s="24">
        <v>10</v>
      </c>
      <c r="C185" s="25">
        <v>4</v>
      </c>
      <c r="D185" s="26" t="s">
        <v>176</v>
      </c>
      <c r="E185" s="27">
        <v>400</v>
      </c>
      <c r="F185" s="94">
        <f>SUM(G185:H185)</f>
        <v>502.7</v>
      </c>
      <c r="G185" s="94"/>
      <c r="H185" s="94">
        <v>502.7</v>
      </c>
      <c r="I185" s="80"/>
    </row>
    <row r="186" spans="1:9" ht="57">
      <c r="A186" s="131" t="s">
        <v>70</v>
      </c>
      <c r="B186" s="7">
        <v>10</v>
      </c>
      <c r="C186" s="8">
        <v>4</v>
      </c>
      <c r="D186" s="133">
        <v>0</v>
      </c>
      <c r="E186" s="10">
        <v>300</v>
      </c>
      <c r="F186" s="98">
        <f>F188+F187+F189</f>
        <v>8525.0999999999985</v>
      </c>
      <c r="G186" s="98">
        <f t="shared" ref="G186:H186" si="55">G188+G187+G189</f>
        <v>0</v>
      </c>
      <c r="H186" s="98">
        <f t="shared" si="55"/>
        <v>8525.0999999999985</v>
      </c>
    </row>
    <row r="187" spans="1:9" s="81" customFormat="1" ht="72">
      <c r="A187" s="37" t="s">
        <v>141</v>
      </c>
      <c r="B187" s="24">
        <v>10</v>
      </c>
      <c r="C187" s="25">
        <v>4</v>
      </c>
      <c r="D187" s="56">
        <v>2230181540</v>
      </c>
      <c r="E187" s="27">
        <v>300</v>
      </c>
      <c r="F187" s="94">
        <f>G187+H187</f>
        <v>913.9</v>
      </c>
      <c r="G187" s="94"/>
      <c r="H187" s="94">
        <v>913.9</v>
      </c>
    </row>
    <row r="188" spans="1:9" s="81" customFormat="1" ht="24">
      <c r="A188" s="37" t="s">
        <v>71</v>
      </c>
      <c r="B188" s="16">
        <v>10</v>
      </c>
      <c r="C188" s="17">
        <v>4</v>
      </c>
      <c r="D188" s="156">
        <v>2230781520</v>
      </c>
      <c r="E188" s="18">
        <v>300</v>
      </c>
      <c r="F188" s="102">
        <f t="shared" ref="F188" si="56">SUM(G188:H188)</f>
        <v>7023.7</v>
      </c>
      <c r="G188" s="102"/>
      <c r="H188" s="102">
        <f>5823.7+1200</f>
        <v>7023.7</v>
      </c>
    </row>
    <row r="189" spans="1:9" s="81" customFormat="1">
      <c r="A189" s="37" t="s">
        <v>177</v>
      </c>
      <c r="B189" s="16">
        <v>10</v>
      </c>
      <c r="C189" s="17">
        <v>4</v>
      </c>
      <c r="D189" s="156">
        <v>2230752600</v>
      </c>
      <c r="E189" s="18">
        <v>300</v>
      </c>
      <c r="F189" s="102">
        <f t="shared" ref="F189" si="57">SUM(G189:H189)</f>
        <v>587.5</v>
      </c>
      <c r="G189" s="102"/>
      <c r="H189" s="102">
        <v>587.5</v>
      </c>
    </row>
    <row r="190" spans="1:9">
      <c r="A190" s="178" t="s">
        <v>97</v>
      </c>
      <c r="B190" s="7">
        <v>11</v>
      </c>
      <c r="C190" s="7">
        <v>0</v>
      </c>
      <c r="D190" s="145" t="s">
        <v>146</v>
      </c>
      <c r="E190" s="43">
        <v>0</v>
      </c>
      <c r="F190" s="173">
        <f>F191+F193</f>
        <v>400</v>
      </c>
      <c r="G190" s="173">
        <f t="shared" ref="G190:H190" si="58">G191+G193</f>
        <v>400</v>
      </c>
      <c r="H190" s="173">
        <f t="shared" si="58"/>
        <v>0</v>
      </c>
    </row>
    <row r="191" spans="1:9" ht="15.75" customHeight="1">
      <c r="A191" s="178" t="s">
        <v>98</v>
      </c>
      <c r="B191" s="7">
        <v>11</v>
      </c>
      <c r="C191" s="7">
        <v>1</v>
      </c>
      <c r="D191" s="145" t="s">
        <v>146</v>
      </c>
      <c r="E191" s="43">
        <v>0</v>
      </c>
      <c r="F191" s="100">
        <f>F192</f>
        <v>400</v>
      </c>
      <c r="G191" s="100">
        <f t="shared" ref="G191:H191" si="59">G192</f>
        <v>400</v>
      </c>
      <c r="H191" s="100">
        <f t="shared" si="59"/>
        <v>0</v>
      </c>
    </row>
    <row r="192" spans="1:9" ht="24">
      <c r="A192" s="60" t="s">
        <v>99</v>
      </c>
      <c r="B192" s="24">
        <v>11</v>
      </c>
      <c r="C192" s="24">
        <v>1</v>
      </c>
      <c r="D192" s="61" t="s">
        <v>163</v>
      </c>
      <c r="E192" s="62">
        <v>200</v>
      </c>
      <c r="F192" s="110">
        <f>SUM(G192:H192)</f>
        <v>400</v>
      </c>
      <c r="G192" s="200">
        <v>400</v>
      </c>
      <c r="H192" s="110">
        <v>0</v>
      </c>
    </row>
    <row r="193" spans="1:9" ht="24.75" hidden="1" customHeight="1">
      <c r="A193" s="39" t="s">
        <v>100</v>
      </c>
      <c r="B193" s="23">
        <v>11</v>
      </c>
      <c r="C193" s="54">
        <v>2</v>
      </c>
      <c r="D193" s="170">
        <v>0</v>
      </c>
      <c r="E193" s="55">
        <v>0</v>
      </c>
      <c r="F193" s="171">
        <f>F194</f>
        <v>0</v>
      </c>
      <c r="G193" s="171">
        <f t="shared" ref="G193:H193" si="60">G194</f>
        <v>0</v>
      </c>
      <c r="H193" s="106">
        <f t="shared" si="60"/>
        <v>0</v>
      </c>
    </row>
    <row r="194" spans="1:9" ht="24" hidden="1">
      <c r="A194" s="60" t="s">
        <v>99</v>
      </c>
      <c r="B194" s="16">
        <v>11</v>
      </c>
      <c r="C194" s="17">
        <v>1</v>
      </c>
      <c r="D194" s="61" t="s">
        <v>163</v>
      </c>
      <c r="E194" s="18">
        <v>500</v>
      </c>
      <c r="F194" s="102">
        <f>SUM(G194:H194)</f>
        <v>0</v>
      </c>
      <c r="G194" s="102">
        <v>0</v>
      </c>
      <c r="H194" s="102">
        <v>0</v>
      </c>
    </row>
    <row r="195" spans="1:9">
      <c r="A195" s="129" t="s">
        <v>101</v>
      </c>
      <c r="B195" s="11">
        <v>12</v>
      </c>
      <c r="C195" s="11">
        <v>0</v>
      </c>
      <c r="D195" s="145" t="s">
        <v>146</v>
      </c>
      <c r="E195" s="12">
        <v>0</v>
      </c>
      <c r="F195" s="173">
        <f>F196+F198+F200</f>
        <v>2625</v>
      </c>
      <c r="G195" s="173">
        <f t="shared" ref="G195:H195" si="61">G196+G198+G200</f>
        <v>2625</v>
      </c>
      <c r="H195" s="173">
        <f t="shared" si="61"/>
        <v>0</v>
      </c>
    </row>
    <row r="196" spans="1:9" hidden="1">
      <c r="A196" s="34" t="s">
        <v>102</v>
      </c>
      <c r="B196" s="19">
        <v>12</v>
      </c>
      <c r="C196" s="19">
        <v>1</v>
      </c>
      <c r="D196" s="20">
        <v>0</v>
      </c>
      <c r="E196" s="21">
        <v>0</v>
      </c>
      <c r="F196" s="96">
        <f>F197</f>
        <v>0</v>
      </c>
      <c r="G196" s="96">
        <f t="shared" ref="G196:H196" si="62">G197</f>
        <v>0</v>
      </c>
      <c r="H196" s="96">
        <f t="shared" si="62"/>
        <v>0</v>
      </c>
    </row>
    <row r="197" spans="1:9" hidden="1">
      <c r="A197" s="33"/>
      <c r="B197" s="13">
        <v>12</v>
      </c>
      <c r="C197" s="13">
        <v>1</v>
      </c>
      <c r="D197" s="14"/>
      <c r="E197" s="15"/>
      <c r="F197" s="102">
        <f>SUM(G197:H197)</f>
        <v>0</v>
      </c>
      <c r="G197" s="102">
        <f>ROUND([2]итог!F110/1000,1)</f>
        <v>0</v>
      </c>
      <c r="H197" s="102">
        <v>0</v>
      </c>
    </row>
    <row r="198" spans="1:9">
      <c r="A198" s="129" t="s">
        <v>54</v>
      </c>
      <c r="B198" s="11">
        <v>12</v>
      </c>
      <c r="C198" s="11">
        <v>2</v>
      </c>
      <c r="D198" s="145" t="s">
        <v>146</v>
      </c>
      <c r="E198" s="12">
        <v>0</v>
      </c>
      <c r="F198" s="100">
        <f>F199</f>
        <v>2625</v>
      </c>
      <c r="G198" s="100">
        <f t="shared" ref="G198:H198" si="63">G199</f>
        <v>2625</v>
      </c>
      <c r="H198" s="100">
        <f t="shared" si="63"/>
        <v>0</v>
      </c>
    </row>
    <row r="199" spans="1:9" ht="25.2" thickBot="1">
      <c r="A199" s="128" t="s">
        <v>55</v>
      </c>
      <c r="B199" s="4">
        <v>12</v>
      </c>
      <c r="C199" s="4">
        <v>2</v>
      </c>
      <c r="D199" s="140" t="s">
        <v>164</v>
      </c>
      <c r="E199" s="6">
        <v>600</v>
      </c>
      <c r="F199" s="110">
        <f>SUM(G199:H199)</f>
        <v>2625</v>
      </c>
      <c r="G199" s="200">
        <v>2625</v>
      </c>
      <c r="H199" s="110">
        <v>0</v>
      </c>
    </row>
    <row r="200" spans="1:9" ht="24.6" hidden="1" thickBot="1">
      <c r="A200" s="34" t="s">
        <v>103</v>
      </c>
      <c r="B200" s="19">
        <v>12</v>
      </c>
      <c r="C200" s="19">
        <v>4</v>
      </c>
      <c r="D200" s="20">
        <v>0</v>
      </c>
      <c r="E200" s="21">
        <v>0</v>
      </c>
      <c r="F200" s="96">
        <f>F201</f>
        <v>0</v>
      </c>
      <c r="G200" s="96">
        <f t="shared" ref="G200:H200" si="64">G201</f>
        <v>0</v>
      </c>
      <c r="H200" s="96">
        <f t="shared" si="64"/>
        <v>0</v>
      </c>
    </row>
    <row r="201" spans="1:9" ht="15" hidden="1" thickBot="1">
      <c r="A201" s="37" t="s">
        <v>31</v>
      </c>
      <c r="B201" s="13">
        <v>12</v>
      </c>
      <c r="C201" s="13">
        <v>4</v>
      </c>
      <c r="D201" s="14">
        <v>7950000</v>
      </c>
      <c r="E201" s="15"/>
      <c r="F201" s="94">
        <f>SUM(G201:H201)</f>
        <v>0</v>
      </c>
      <c r="G201" s="94">
        <f>ROUND([2]итог!F114/1000,1)</f>
        <v>0</v>
      </c>
      <c r="H201" s="102"/>
    </row>
    <row r="202" spans="1:9" ht="23.4" thickBot="1">
      <c r="A202" s="41" t="s">
        <v>16</v>
      </c>
      <c r="B202" s="22">
        <v>13</v>
      </c>
      <c r="C202" s="22">
        <v>0</v>
      </c>
      <c r="D202" s="197">
        <v>0</v>
      </c>
      <c r="E202" s="28">
        <v>0</v>
      </c>
      <c r="F202" s="93">
        <f>F203</f>
        <v>18</v>
      </c>
      <c r="G202" s="93">
        <f t="shared" ref="G202:H203" si="65">G203</f>
        <v>18</v>
      </c>
      <c r="H202" s="93">
        <f t="shared" si="65"/>
        <v>0</v>
      </c>
    </row>
    <row r="203" spans="1:9" ht="24">
      <c r="A203" s="31" t="s">
        <v>104</v>
      </c>
      <c r="B203" s="7">
        <v>13</v>
      </c>
      <c r="C203" s="8">
        <v>1</v>
      </c>
      <c r="D203" s="197">
        <v>9930320000</v>
      </c>
      <c r="E203" s="10">
        <v>0</v>
      </c>
      <c r="F203" s="98">
        <f>F204</f>
        <v>18</v>
      </c>
      <c r="G203" s="98">
        <f t="shared" si="65"/>
        <v>18</v>
      </c>
      <c r="H203" s="98">
        <f t="shared" si="65"/>
        <v>0</v>
      </c>
    </row>
    <row r="204" spans="1:9" ht="24.6">
      <c r="A204" s="40" t="s">
        <v>104</v>
      </c>
      <c r="B204" s="16">
        <v>13</v>
      </c>
      <c r="C204" s="17">
        <v>1</v>
      </c>
      <c r="D204" s="156">
        <v>9930320000</v>
      </c>
      <c r="E204" s="18">
        <v>700</v>
      </c>
      <c r="F204" s="102">
        <f>SUM(G204:H204)</f>
        <v>18</v>
      </c>
      <c r="G204" s="102">
        <v>18</v>
      </c>
      <c r="H204" s="102"/>
    </row>
    <row r="205" spans="1:9">
      <c r="A205" s="178" t="s">
        <v>72</v>
      </c>
      <c r="B205" s="7">
        <v>14</v>
      </c>
      <c r="C205" s="7">
        <v>0</v>
      </c>
      <c r="D205" s="145" t="s">
        <v>146</v>
      </c>
      <c r="E205" s="43">
        <v>0</v>
      </c>
      <c r="F205" s="173">
        <f>F206+F208+F210</f>
        <v>41391.800000000003</v>
      </c>
      <c r="G205" s="173">
        <f t="shared" ref="G205:H205" si="66">G206+G208+G210</f>
        <v>8755.7999999999993</v>
      </c>
      <c r="H205" s="173">
        <f t="shared" si="66"/>
        <v>32636</v>
      </c>
      <c r="I205" s="81"/>
    </row>
    <row r="206" spans="1:9" ht="36.75" customHeight="1">
      <c r="A206" s="70" t="s">
        <v>105</v>
      </c>
      <c r="B206" s="7">
        <v>14</v>
      </c>
      <c r="C206" s="7">
        <v>1</v>
      </c>
      <c r="D206" s="145" t="s">
        <v>146</v>
      </c>
      <c r="E206" s="43">
        <v>0</v>
      </c>
      <c r="F206" s="100">
        <f>F207</f>
        <v>41391.800000000003</v>
      </c>
      <c r="G206" s="100">
        <f t="shared" ref="G206:H206" si="67">G207</f>
        <v>8755.7999999999993</v>
      </c>
      <c r="H206" s="100">
        <f t="shared" si="67"/>
        <v>32636</v>
      </c>
    </row>
    <row r="207" spans="1:9" ht="24">
      <c r="A207" s="60" t="s">
        <v>73</v>
      </c>
      <c r="B207" s="24">
        <v>14</v>
      </c>
      <c r="C207" s="24">
        <v>1</v>
      </c>
      <c r="D207" s="61">
        <v>2610160010</v>
      </c>
      <c r="E207" s="62">
        <v>500</v>
      </c>
      <c r="F207" s="110">
        <f>SUM(G207:H207)</f>
        <v>41391.800000000003</v>
      </c>
      <c r="G207" s="110">
        <v>8755.7999999999993</v>
      </c>
      <c r="H207" s="110">
        <v>32636</v>
      </c>
    </row>
    <row r="208" spans="1:9" hidden="1">
      <c r="A208" s="39" t="s">
        <v>106</v>
      </c>
      <c r="B208" s="23">
        <v>14</v>
      </c>
      <c r="C208" s="54">
        <v>2</v>
      </c>
      <c r="D208" s="170">
        <v>0</v>
      </c>
      <c r="E208" s="55">
        <v>0</v>
      </c>
      <c r="F208" s="96">
        <f>F209</f>
        <v>0</v>
      </c>
      <c r="G208" s="96">
        <f t="shared" ref="G208:H208" si="68">G209</f>
        <v>0</v>
      </c>
      <c r="H208" s="96">
        <f t="shared" si="68"/>
        <v>0</v>
      </c>
    </row>
    <row r="209" spans="1:8" ht="24" hidden="1">
      <c r="A209" s="36" t="s">
        <v>107</v>
      </c>
      <c r="B209" s="24">
        <v>14</v>
      </c>
      <c r="C209" s="25">
        <v>2</v>
      </c>
      <c r="D209" s="56">
        <v>5170200</v>
      </c>
      <c r="E209" s="27">
        <v>500</v>
      </c>
      <c r="F209" s="94">
        <f>SUM(G209:H209)</f>
        <v>0</v>
      </c>
      <c r="G209" s="94">
        <v>0</v>
      </c>
      <c r="H209" s="94">
        <v>0</v>
      </c>
    </row>
    <row r="210" spans="1:8" ht="35.4" hidden="1">
      <c r="A210" s="31" t="s">
        <v>108</v>
      </c>
      <c r="B210" s="7">
        <v>14</v>
      </c>
      <c r="C210" s="8">
        <v>3</v>
      </c>
      <c r="D210" s="50">
        <v>0</v>
      </c>
      <c r="E210" s="10">
        <v>0</v>
      </c>
      <c r="F210" s="98">
        <f>SUM(F211:F212)</f>
        <v>0</v>
      </c>
      <c r="G210" s="98">
        <f>SUM(G211:G212)</f>
        <v>0</v>
      </c>
      <c r="H210" s="98">
        <f>SUM(H211:H212)</f>
        <v>0</v>
      </c>
    </row>
    <row r="211" spans="1:8" ht="24" hidden="1">
      <c r="A211" s="36" t="s">
        <v>109</v>
      </c>
      <c r="B211" s="24">
        <v>14</v>
      </c>
      <c r="C211" s="25">
        <v>3</v>
      </c>
      <c r="D211" s="56">
        <v>5210300</v>
      </c>
      <c r="E211" s="27"/>
      <c r="F211" s="94">
        <f>SUM(G211:H211)</f>
        <v>0</v>
      </c>
      <c r="G211" s="94"/>
      <c r="H211" s="94"/>
    </row>
    <row r="212" spans="1:8" ht="84" hidden="1">
      <c r="A212" s="36" t="s">
        <v>110</v>
      </c>
      <c r="B212" s="24">
        <v>14</v>
      </c>
      <c r="C212" s="25">
        <v>3</v>
      </c>
      <c r="D212" s="56">
        <v>5210600</v>
      </c>
      <c r="E212" s="27"/>
      <c r="F212" s="94">
        <f>SUM(G212:H212)</f>
        <v>0</v>
      </c>
      <c r="G212" s="201"/>
      <c r="H212" s="94"/>
    </row>
    <row r="214" spans="1:8">
      <c r="G214" s="81"/>
      <c r="H214" s="81"/>
    </row>
  </sheetData>
  <autoFilter ref="A8:H212">
    <filterColumn colId="5">
      <filters>
        <filter val="1000,0"/>
        <filter val="10464,1"/>
        <filter val="1050,0"/>
        <filter val="10634,6"/>
        <filter val="1104,1"/>
        <filter val="11498,0"/>
        <filter val="11819,2"/>
        <filter val="11923,4"/>
        <filter val="1200,0"/>
        <filter val="12823,4"/>
        <filter val="1299,0"/>
        <filter val="132,6"/>
        <filter val="1359,8"/>
        <filter val="13866,1"/>
        <filter val="139,0"/>
        <filter val="14117,1"/>
        <filter val="1417,0"/>
        <filter val="15,0"/>
        <filter val="156883,9"/>
        <filter val="1617,0"/>
        <filter val="16233,9"/>
        <filter val="17733,7"/>
        <filter val="18,0"/>
        <filter val="18,4"/>
        <filter val="18,7"/>
        <filter val="184402,1"/>
        <filter val="18540,0"/>
        <filter val="187,0"/>
        <filter val="1874,5"/>
        <filter val="19074,0"/>
        <filter val="192,0"/>
        <filter val="2,0"/>
        <filter val="20,0"/>
        <filter val="200,0"/>
        <filter val="2053,5"/>
        <filter val="21,0"/>
        <filter val="2165,4"/>
        <filter val="2185,4"/>
        <filter val="2245,3"/>
        <filter val="24,0"/>
        <filter val="24116,2"/>
        <filter val="242,5"/>
        <filter val="25,0"/>
        <filter val="2625,0"/>
        <filter val="2653,0"/>
        <filter val="26987,9"/>
        <filter val="2776,0"/>
        <filter val="28,1"/>
        <filter val="280,9"/>
        <filter val="2869,0"/>
        <filter val="295,4"/>
        <filter val="2996,9"/>
        <filter val="30,0"/>
        <filter val="300,0"/>
        <filter val="3069,5"/>
        <filter val="309328,7"/>
        <filter val="3192,0"/>
        <filter val="32,0"/>
        <filter val="3236,0"/>
        <filter val="3304,0"/>
        <filter val="333,0"/>
        <filter val="3333,2"/>
        <filter val="3357,5"/>
        <filter val="338,3"/>
        <filter val="3437,0"/>
        <filter val="364,4"/>
        <filter val="365,0"/>
        <filter val="3653,0"/>
        <filter val="3742,0"/>
        <filter val="3754,6"/>
        <filter val="388,0"/>
        <filter val="3984,1"/>
        <filter val="400,0"/>
        <filter val="4065,1"/>
        <filter val="407,0"/>
        <filter val="41391,8"/>
        <filter val="4199,9"/>
        <filter val="439569,8"/>
        <filter val="47,3"/>
        <filter val="500,0"/>
        <filter val="502,7"/>
        <filter val="513,0"/>
        <filter val="534,0"/>
        <filter val="550,0"/>
        <filter val="57,0"/>
        <filter val="5809,3"/>
        <filter val="587,5"/>
        <filter val="5902,5"/>
        <filter val="59300,4"/>
        <filter val="6,0"/>
        <filter val="6020,9"/>
        <filter val="606,0"/>
        <filter val="608,0"/>
        <filter val="6266,9"/>
        <filter val="64,9"/>
        <filter val="6480,0"/>
        <filter val="7023,7"/>
        <filter val="738,0"/>
        <filter val="767,0"/>
        <filter val="843,9"/>
        <filter val="8525,1"/>
        <filter val="868,8"/>
        <filter val="8820,0"/>
        <filter val="900,0"/>
        <filter val="91171,8"/>
        <filter val="913,9"/>
        <filter val="9451,0"/>
        <filter val="95,9"/>
        <filter val="9530,5"/>
      </filters>
    </filterColumn>
  </autoFilter>
  <mergeCells count="3">
    <mergeCell ref="A5:H5"/>
    <mergeCell ref="A6:H6"/>
    <mergeCell ref="G4:H4"/>
  </mergeCells>
  <pageMargins left="0.70866141732283472" right="0.15748031496062992" top="0.35433070866141736" bottom="0.27559055118110237" header="0.31496062992125984" footer="0.15748031496062992"/>
  <pageSetup paperSize="9" scale="9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209"/>
  <sheetViews>
    <sheetView workbookViewId="0">
      <selection activeCell="L19" sqref="L19"/>
    </sheetView>
  </sheetViews>
  <sheetFormatPr defaultRowHeight="14.4"/>
  <cols>
    <col min="1" max="1" width="55.6640625" customWidth="1"/>
    <col min="2" max="2" width="4.5546875" style="64" customWidth="1"/>
    <col min="3" max="3" width="4" customWidth="1"/>
    <col min="4" max="4" width="4.109375" customWidth="1"/>
    <col min="5" max="5" width="10" customWidth="1"/>
    <col min="6" max="6" width="5.33203125" customWidth="1"/>
    <col min="7" max="7" width="11.33203125" style="63" customWidth="1"/>
  </cols>
  <sheetData>
    <row r="1" spans="1:7">
      <c r="G1" s="44" t="s">
        <v>197</v>
      </c>
    </row>
    <row r="2" spans="1:7">
      <c r="G2" s="79" t="s">
        <v>76</v>
      </c>
    </row>
    <row r="3" spans="1:7">
      <c r="G3" s="79" t="s">
        <v>77</v>
      </c>
    </row>
    <row r="4" spans="1:7">
      <c r="E4" s="403" t="s">
        <v>363</v>
      </c>
      <c r="F4" s="403"/>
      <c r="G4" s="403"/>
    </row>
    <row r="5" spans="1:7" ht="15.6">
      <c r="A5" s="401" t="s">
        <v>78</v>
      </c>
      <c r="B5" s="401"/>
      <c r="C5" s="401"/>
      <c r="D5" s="401"/>
      <c r="E5" s="401"/>
      <c r="F5" s="401"/>
      <c r="G5" s="401"/>
    </row>
    <row r="6" spans="1:7" ht="42" customHeight="1" thickBot="1">
      <c r="A6" s="395" t="s">
        <v>347</v>
      </c>
      <c r="B6" s="395"/>
      <c r="C6" s="395"/>
      <c r="D6" s="395"/>
      <c r="E6" s="395"/>
      <c r="F6" s="395"/>
      <c r="G6" s="395"/>
    </row>
    <row r="7" spans="1:7">
      <c r="A7" s="276" t="s">
        <v>0</v>
      </c>
      <c r="B7" s="277" t="s">
        <v>80</v>
      </c>
      <c r="C7" s="278" t="s">
        <v>1</v>
      </c>
      <c r="D7" s="278" t="s">
        <v>2</v>
      </c>
      <c r="E7" s="278" t="s">
        <v>3</v>
      </c>
      <c r="F7" s="278" t="s">
        <v>4</v>
      </c>
      <c r="G7" s="279" t="s">
        <v>5</v>
      </c>
    </row>
    <row r="8" spans="1:7" ht="15" thickBot="1">
      <c r="A8" s="280">
        <v>1</v>
      </c>
      <c r="B8" s="65">
        <v>2</v>
      </c>
      <c r="C8" s="66">
        <v>3</v>
      </c>
      <c r="D8" s="66">
        <v>4</v>
      </c>
      <c r="E8" s="66">
        <v>5</v>
      </c>
      <c r="F8" s="66">
        <v>6</v>
      </c>
      <c r="G8" s="281">
        <v>7</v>
      </c>
    </row>
    <row r="9" spans="1:7" ht="15" thickBot="1">
      <c r="A9" s="282" t="s">
        <v>79</v>
      </c>
      <c r="B9" s="67" t="s">
        <v>81</v>
      </c>
      <c r="C9" s="42" t="s">
        <v>74</v>
      </c>
      <c r="D9" s="42" t="s">
        <v>74</v>
      </c>
      <c r="E9" s="42" t="s">
        <v>146</v>
      </c>
      <c r="F9" s="42" t="s">
        <v>75</v>
      </c>
      <c r="G9" s="283">
        <f>G10+G36+G52+G60+G68+G76+G81+G46</f>
        <v>34915.42</v>
      </c>
    </row>
    <row r="10" spans="1:7" ht="15" thickBot="1">
      <c r="A10" s="29" t="s">
        <v>8</v>
      </c>
      <c r="B10" s="68" t="s">
        <v>81</v>
      </c>
      <c r="C10" s="1">
        <v>1</v>
      </c>
      <c r="D10" s="1">
        <v>0</v>
      </c>
      <c r="E10" s="42" t="s">
        <v>146</v>
      </c>
      <c r="F10" s="3">
        <v>0</v>
      </c>
      <c r="G10" s="284">
        <f>G11+G14+G31+G25+G28+G23</f>
        <v>18694.82</v>
      </c>
    </row>
    <row r="11" spans="1:7" ht="24.6" thickBot="1">
      <c r="A11" s="47" t="s">
        <v>9</v>
      </c>
      <c r="B11" s="68" t="s">
        <v>81</v>
      </c>
      <c r="C11" s="48">
        <v>1</v>
      </c>
      <c r="D11" s="48">
        <v>2</v>
      </c>
      <c r="E11" s="42" t="s">
        <v>146</v>
      </c>
      <c r="F11" s="49">
        <v>0</v>
      </c>
      <c r="G11" s="285">
        <f>SUM(G12:G13)</f>
        <v>1617</v>
      </c>
    </row>
    <row r="12" spans="1:7">
      <c r="A12" s="30" t="s">
        <v>10</v>
      </c>
      <c r="B12" s="69" t="s">
        <v>81</v>
      </c>
      <c r="C12" s="4">
        <v>1</v>
      </c>
      <c r="D12" s="4">
        <v>2</v>
      </c>
      <c r="E12" s="5" t="s">
        <v>150</v>
      </c>
      <c r="F12" s="6">
        <v>100</v>
      </c>
      <c r="G12" s="286">
        <f>пр2!F12</f>
        <v>1417</v>
      </c>
    </row>
    <row r="13" spans="1:7" ht="15" thickBot="1">
      <c r="A13" s="30" t="s">
        <v>11</v>
      </c>
      <c r="B13" s="69" t="s">
        <v>81</v>
      </c>
      <c r="C13" s="4">
        <v>1</v>
      </c>
      <c r="D13" s="4">
        <v>2</v>
      </c>
      <c r="E13" s="5" t="s">
        <v>151</v>
      </c>
      <c r="F13" s="6">
        <v>200</v>
      </c>
      <c r="G13" s="286">
        <f>пр2!F13</f>
        <v>200</v>
      </c>
    </row>
    <row r="14" spans="1:7" ht="24.6" thickBot="1">
      <c r="A14" s="31" t="s">
        <v>14</v>
      </c>
      <c r="B14" s="71" t="s">
        <v>81</v>
      </c>
      <c r="C14" s="7">
        <v>1</v>
      </c>
      <c r="D14" s="8">
        <v>4</v>
      </c>
      <c r="E14" s="42" t="s">
        <v>146</v>
      </c>
      <c r="F14" s="10">
        <v>0</v>
      </c>
      <c r="G14" s="287">
        <f>SUM(G15:G22)</f>
        <v>16233.92</v>
      </c>
    </row>
    <row r="15" spans="1:7">
      <c r="A15" s="30" t="s">
        <v>11</v>
      </c>
      <c r="B15" s="69" t="s">
        <v>81</v>
      </c>
      <c r="C15" s="4">
        <v>1</v>
      </c>
      <c r="D15" s="4">
        <v>4</v>
      </c>
      <c r="E15" s="5" t="s">
        <v>151</v>
      </c>
      <c r="F15" s="6">
        <v>100</v>
      </c>
      <c r="G15" s="286">
        <f>пр2!F20</f>
        <v>11819.2</v>
      </c>
    </row>
    <row r="16" spans="1:7" s="81" customFormat="1">
      <c r="A16" s="30" t="s">
        <v>11</v>
      </c>
      <c r="B16" s="69" t="s">
        <v>81</v>
      </c>
      <c r="C16" s="4">
        <v>1</v>
      </c>
      <c r="D16" s="4">
        <v>4</v>
      </c>
      <c r="E16" s="5" t="s">
        <v>151</v>
      </c>
      <c r="F16" s="6">
        <v>200</v>
      </c>
      <c r="G16" s="286">
        <f>пр2!F21</f>
        <v>2996.9</v>
      </c>
    </row>
    <row r="17" spans="1:7" s="81" customFormat="1">
      <c r="A17" s="30" t="s">
        <v>11</v>
      </c>
      <c r="B17" s="69" t="s">
        <v>81</v>
      </c>
      <c r="C17" s="4">
        <v>1</v>
      </c>
      <c r="D17" s="4">
        <v>4</v>
      </c>
      <c r="E17" s="5" t="s">
        <v>151</v>
      </c>
      <c r="F17" s="6">
        <v>300</v>
      </c>
      <c r="G17" s="286">
        <f>пр2!F22</f>
        <v>607.97</v>
      </c>
    </row>
    <row r="18" spans="1:7" s="81" customFormat="1">
      <c r="A18" s="30" t="s">
        <v>11</v>
      </c>
      <c r="B18" s="69" t="s">
        <v>81</v>
      </c>
      <c r="C18" s="4">
        <v>1</v>
      </c>
      <c r="D18" s="4">
        <v>4</v>
      </c>
      <c r="E18" s="5" t="s">
        <v>151</v>
      </c>
      <c r="F18" s="6">
        <v>800</v>
      </c>
      <c r="G18" s="286">
        <f>пр2!F23</f>
        <v>95.85</v>
      </c>
    </row>
    <row r="19" spans="1:7" s="81" customFormat="1">
      <c r="A19" s="30" t="s">
        <v>20</v>
      </c>
      <c r="B19" s="69" t="s">
        <v>81</v>
      </c>
      <c r="C19" s="4">
        <v>1</v>
      </c>
      <c r="D19" s="4">
        <v>4</v>
      </c>
      <c r="E19" s="5">
        <v>9980077720</v>
      </c>
      <c r="F19" s="6">
        <v>100</v>
      </c>
      <c r="G19" s="286">
        <f>пр2!F24</f>
        <v>333</v>
      </c>
    </row>
    <row r="20" spans="1:7" s="81" customFormat="1">
      <c r="A20" s="30" t="s">
        <v>20</v>
      </c>
      <c r="B20" s="69" t="s">
        <v>81</v>
      </c>
      <c r="C20" s="4">
        <v>1</v>
      </c>
      <c r="D20" s="4">
        <v>4</v>
      </c>
      <c r="E20" s="5">
        <v>9980077720</v>
      </c>
      <c r="F20" s="6">
        <v>200</v>
      </c>
      <c r="G20" s="286">
        <f>пр2!F25</f>
        <v>24</v>
      </c>
    </row>
    <row r="21" spans="1:7" s="81" customFormat="1" ht="24.6">
      <c r="A21" s="30" t="s">
        <v>22</v>
      </c>
      <c r="B21" s="69" t="s">
        <v>81</v>
      </c>
      <c r="C21" s="4">
        <v>1</v>
      </c>
      <c r="D21" s="4">
        <v>4</v>
      </c>
      <c r="E21" s="5">
        <v>9980077710</v>
      </c>
      <c r="F21" s="6">
        <v>100</v>
      </c>
      <c r="G21" s="286">
        <f>пр2!F26</f>
        <v>338.3</v>
      </c>
    </row>
    <row r="22" spans="1:7" s="81" customFormat="1" ht="25.2" thickBot="1">
      <c r="A22" s="30" t="s">
        <v>22</v>
      </c>
      <c r="B22" s="69" t="s">
        <v>81</v>
      </c>
      <c r="C22" s="4">
        <v>1</v>
      </c>
      <c r="D22" s="4">
        <v>4</v>
      </c>
      <c r="E22" s="5">
        <v>9980077710</v>
      </c>
      <c r="F22" s="6">
        <v>200</v>
      </c>
      <c r="G22" s="286">
        <f>пр2!F27</f>
        <v>18.7</v>
      </c>
    </row>
    <row r="23" spans="1:7" s="81" customFormat="1" ht="15" thickBot="1">
      <c r="A23" s="32" t="s">
        <v>144</v>
      </c>
      <c r="B23" s="68" t="s">
        <v>81</v>
      </c>
      <c r="C23" s="11">
        <v>1</v>
      </c>
      <c r="D23" s="138">
        <v>5</v>
      </c>
      <c r="E23" s="42" t="s">
        <v>146</v>
      </c>
      <c r="F23" s="139">
        <v>0</v>
      </c>
      <c r="G23" s="287">
        <f>пр2!H28</f>
        <v>0</v>
      </c>
    </row>
    <row r="24" spans="1:7" s="81" customFormat="1" ht="25.2" thickBot="1">
      <c r="A24" s="288" t="s">
        <v>145</v>
      </c>
      <c r="B24" s="289" t="s">
        <v>81</v>
      </c>
      <c r="C24" s="183">
        <v>1</v>
      </c>
      <c r="D24" s="290">
        <v>5</v>
      </c>
      <c r="E24" s="184">
        <v>9980051200</v>
      </c>
      <c r="F24" s="291">
        <v>200</v>
      </c>
      <c r="G24" s="292">
        <f>пр2!H29</f>
        <v>0</v>
      </c>
    </row>
    <row r="25" spans="1:7" s="81" customFormat="1" ht="15" hidden="1" thickBot="1">
      <c r="A25" s="39" t="s">
        <v>112</v>
      </c>
      <c r="B25" s="199" t="s">
        <v>81</v>
      </c>
      <c r="C25" s="23">
        <v>1</v>
      </c>
      <c r="D25" s="54">
        <v>7</v>
      </c>
      <c r="E25" s="146" t="s">
        <v>146</v>
      </c>
      <c r="F25" s="55">
        <v>0</v>
      </c>
      <c r="G25" s="88">
        <f>SUM(G26:G27)</f>
        <v>0</v>
      </c>
    </row>
    <row r="26" spans="1:7" s="81" customFormat="1" ht="25.2" hidden="1" thickBot="1">
      <c r="A26" s="30" t="s">
        <v>113</v>
      </c>
      <c r="B26" s="69" t="s">
        <v>81</v>
      </c>
      <c r="C26" s="4">
        <v>1</v>
      </c>
      <c r="D26" s="4">
        <v>7</v>
      </c>
      <c r="E26" s="5">
        <v>9940020020</v>
      </c>
      <c r="F26" s="6">
        <v>200</v>
      </c>
      <c r="G26" s="87">
        <f>[3]адм!F17/1000</f>
        <v>0</v>
      </c>
    </row>
    <row r="27" spans="1:7" s="81" customFormat="1" ht="15" hidden="1" thickBot="1">
      <c r="A27" s="33" t="s">
        <v>114</v>
      </c>
      <c r="B27" s="229" t="s">
        <v>81</v>
      </c>
      <c r="C27" s="13">
        <v>1</v>
      </c>
      <c r="D27" s="249">
        <v>7</v>
      </c>
      <c r="E27" s="250">
        <v>9940020010</v>
      </c>
      <c r="F27" s="15">
        <v>200</v>
      </c>
      <c r="G27" s="204">
        <v>0</v>
      </c>
    </row>
    <row r="28" spans="1:7" s="81" customFormat="1" ht="15" thickBot="1">
      <c r="A28" s="29" t="s">
        <v>17</v>
      </c>
      <c r="B28" s="293" t="s">
        <v>81</v>
      </c>
      <c r="C28" s="1">
        <v>1</v>
      </c>
      <c r="D28" s="1">
        <v>11</v>
      </c>
      <c r="E28" s="42" t="s">
        <v>146</v>
      </c>
      <c r="F28" s="3">
        <v>0</v>
      </c>
      <c r="G28" s="294">
        <f>G29+G30</f>
        <v>0</v>
      </c>
    </row>
    <row r="29" spans="1:7" s="81" customFormat="1" ht="15" hidden="1" thickBot="1">
      <c r="A29" s="135" t="s">
        <v>18</v>
      </c>
      <c r="B29" s="261" t="s">
        <v>81</v>
      </c>
      <c r="C29" s="51">
        <v>1</v>
      </c>
      <c r="D29" s="51">
        <v>11</v>
      </c>
      <c r="E29" s="52" t="s">
        <v>154</v>
      </c>
      <c r="F29" s="53">
        <v>870</v>
      </c>
      <c r="G29" s="134">
        <f>пр2!F38</f>
        <v>0</v>
      </c>
    </row>
    <row r="30" spans="1:7" s="81" customFormat="1" ht="15" thickBot="1">
      <c r="A30" s="295" t="s">
        <v>143</v>
      </c>
      <c r="B30" s="296" t="s">
        <v>81</v>
      </c>
      <c r="C30" s="297">
        <v>1</v>
      </c>
      <c r="D30" s="297">
        <v>11</v>
      </c>
      <c r="E30" s="298" t="s">
        <v>153</v>
      </c>
      <c r="F30" s="299">
        <v>870</v>
      </c>
      <c r="G30" s="300">
        <f>пр2!F39</f>
        <v>0</v>
      </c>
    </row>
    <row r="31" spans="1:7" ht="15" thickBot="1">
      <c r="A31" s="32" t="s">
        <v>19</v>
      </c>
      <c r="B31" s="69" t="s">
        <v>81</v>
      </c>
      <c r="C31" s="11">
        <v>1</v>
      </c>
      <c r="D31" s="11">
        <v>13</v>
      </c>
      <c r="E31" s="42" t="s">
        <v>146</v>
      </c>
      <c r="F31" s="12">
        <v>0</v>
      </c>
      <c r="G31" s="191">
        <f>SUM(G32:G35)</f>
        <v>843.9</v>
      </c>
    </row>
    <row r="32" spans="1:7">
      <c r="A32" s="30" t="s">
        <v>91</v>
      </c>
      <c r="B32" s="68" t="s">
        <v>81</v>
      </c>
      <c r="C32" s="4">
        <v>1</v>
      </c>
      <c r="D32" s="4">
        <v>13</v>
      </c>
      <c r="E32" s="14">
        <v>9980077730</v>
      </c>
      <c r="F32" s="6">
        <v>200</v>
      </c>
      <c r="G32" s="286">
        <f>пр2!F41</f>
        <v>187</v>
      </c>
    </row>
    <row r="33" spans="1:7">
      <c r="A33" s="33" t="s">
        <v>260</v>
      </c>
      <c r="B33" s="69" t="s">
        <v>81</v>
      </c>
      <c r="C33" s="13">
        <v>1</v>
      </c>
      <c r="D33" s="13">
        <v>13</v>
      </c>
      <c r="E33" s="14">
        <v>9990000000</v>
      </c>
      <c r="F33" s="15">
        <v>999</v>
      </c>
      <c r="G33" s="301">
        <f>пр2!F44</f>
        <v>64.900000000000006</v>
      </c>
    </row>
    <row r="34" spans="1:7" s="81" customFormat="1">
      <c r="A34" s="135" t="s">
        <v>361</v>
      </c>
      <c r="B34" s="69" t="s">
        <v>81</v>
      </c>
      <c r="C34" s="13">
        <v>1</v>
      </c>
      <c r="D34" s="13">
        <v>13</v>
      </c>
      <c r="E34" s="5" t="s">
        <v>154</v>
      </c>
      <c r="F34" s="6">
        <v>200</v>
      </c>
      <c r="G34" s="301">
        <f>пр2!F42</f>
        <v>400</v>
      </c>
    </row>
    <row r="35" spans="1:7" s="81" customFormat="1" ht="15" thickBot="1">
      <c r="A35" s="135" t="s">
        <v>361</v>
      </c>
      <c r="B35" s="69" t="s">
        <v>81</v>
      </c>
      <c r="C35" s="13">
        <v>1</v>
      </c>
      <c r="D35" s="13">
        <v>13</v>
      </c>
      <c r="E35" s="5" t="s">
        <v>153</v>
      </c>
      <c r="F35" s="6">
        <v>200</v>
      </c>
      <c r="G35" s="393">
        <f>пр2!F43</f>
        <v>192</v>
      </c>
    </row>
    <row r="36" spans="1:7" ht="15" thickBot="1">
      <c r="A36" s="29" t="s">
        <v>24</v>
      </c>
      <c r="B36" s="68" t="s">
        <v>81</v>
      </c>
      <c r="C36" s="1">
        <v>3</v>
      </c>
      <c r="D36" s="1">
        <v>0</v>
      </c>
      <c r="E36" s="42" t="s">
        <v>146</v>
      </c>
      <c r="F36" s="3">
        <v>0</v>
      </c>
      <c r="G36" s="284">
        <f>G40+G37+G44</f>
        <v>2692</v>
      </c>
    </row>
    <row r="37" spans="1:7" s="81" customFormat="1" ht="15" thickBot="1">
      <c r="A37" s="31" t="s">
        <v>138</v>
      </c>
      <c r="B37" s="68" t="s">
        <v>81</v>
      </c>
      <c r="C37" s="7">
        <v>3</v>
      </c>
      <c r="D37" s="8">
        <v>4</v>
      </c>
      <c r="E37" s="42" t="s">
        <v>146</v>
      </c>
      <c r="F37" s="10">
        <v>0</v>
      </c>
      <c r="G37" s="287">
        <f>SUM(G38:G39)</f>
        <v>0</v>
      </c>
    </row>
    <row r="38" spans="1:7" s="81" customFormat="1" ht="24.6">
      <c r="A38" s="33" t="s">
        <v>23</v>
      </c>
      <c r="B38" s="69" t="s">
        <v>81</v>
      </c>
      <c r="C38" s="16">
        <v>3</v>
      </c>
      <c r="D38" s="17">
        <v>4</v>
      </c>
      <c r="E38" s="14">
        <v>9980059300</v>
      </c>
      <c r="F38" s="18">
        <v>100</v>
      </c>
      <c r="G38" s="286">
        <f>пр2!H50</f>
        <v>0</v>
      </c>
    </row>
    <row r="39" spans="1:7" s="81" customFormat="1" ht="25.2" thickBot="1">
      <c r="A39" s="33" t="s">
        <v>23</v>
      </c>
      <c r="B39" s="69" t="s">
        <v>81</v>
      </c>
      <c r="C39" s="24">
        <v>3</v>
      </c>
      <c r="D39" s="25">
        <v>4</v>
      </c>
      <c r="E39" s="14">
        <v>9980059300</v>
      </c>
      <c r="F39" s="62">
        <v>200</v>
      </c>
      <c r="G39" s="286">
        <f>пр2!H51</f>
        <v>0</v>
      </c>
    </row>
    <row r="40" spans="1:7" ht="24.6" thickBot="1">
      <c r="A40" s="39" t="s">
        <v>25</v>
      </c>
      <c r="B40" s="69" t="s">
        <v>81</v>
      </c>
      <c r="C40" s="23">
        <v>3</v>
      </c>
      <c r="D40" s="54">
        <v>9</v>
      </c>
      <c r="E40" s="42" t="s">
        <v>146</v>
      </c>
      <c r="F40" s="55">
        <v>0</v>
      </c>
      <c r="G40" s="287">
        <f>SUM(G41:G43)</f>
        <v>2142</v>
      </c>
    </row>
    <row r="41" spans="1:7" s="81" customFormat="1">
      <c r="A41" s="125" t="s">
        <v>26</v>
      </c>
      <c r="B41" s="69" t="s">
        <v>81</v>
      </c>
      <c r="C41" s="24">
        <v>3</v>
      </c>
      <c r="D41" s="25">
        <v>9</v>
      </c>
      <c r="E41" s="5">
        <v>9940020990</v>
      </c>
      <c r="F41" s="62">
        <v>100</v>
      </c>
      <c r="G41" s="286">
        <f>пр2!F53</f>
        <v>1874.5</v>
      </c>
    </row>
    <row r="42" spans="1:7" s="81" customFormat="1">
      <c r="A42" s="125" t="s">
        <v>26</v>
      </c>
      <c r="B42" s="69" t="s">
        <v>81</v>
      </c>
      <c r="C42" s="24">
        <v>3</v>
      </c>
      <c r="D42" s="25">
        <v>9</v>
      </c>
      <c r="E42" s="5">
        <v>9940020990</v>
      </c>
      <c r="F42" s="62">
        <v>200</v>
      </c>
      <c r="G42" s="286">
        <f>пр2!F54</f>
        <v>242.5</v>
      </c>
    </row>
    <row r="43" spans="1:7" s="81" customFormat="1">
      <c r="A43" s="125" t="s">
        <v>26</v>
      </c>
      <c r="B43" s="69" t="s">
        <v>81</v>
      </c>
      <c r="C43" s="24">
        <v>3</v>
      </c>
      <c r="D43" s="25">
        <v>9</v>
      </c>
      <c r="E43" s="5">
        <v>9940020990</v>
      </c>
      <c r="F43" s="62">
        <v>300</v>
      </c>
      <c r="G43" s="286">
        <f>пр2!F55</f>
        <v>25</v>
      </c>
    </row>
    <row r="44" spans="1:7" s="81" customFormat="1" ht="24">
      <c r="A44" s="136" t="s">
        <v>142</v>
      </c>
      <c r="B44" s="68" t="s">
        <v>81</v>
      </c>
      <c r="C44" s="82" t="s">
        <v>89</v>
      </c>
      <c r="D44" s="82">
        <v>14</v>
      </c>
      <c r="E44" s="9">
        <v>0</v>
      </c>
      <c r="F44" s="12">
        <v>0</v>
      </c>
      <c r="G44" s="302">
        <f>G45</f>
        <v>550</v>
      </c>
    </row>
    <row r="45" spans="1:7" s="81" customFormat="1" ht="15" thickBot="1">
      <c r="A45" s="303" t="s">
        <v>178</v>
      </c>
      <c r="B45" s="289" t="s">
        <v>81</v>
      </c>
      <c r="C45" s="304" t="s">
        <v>89</v>
      </c>
      <c r="D45" s="304">
        <v>14</v>
      </c>
      <c r="E45" s="184">
        <v>795000</v>
      </c>
      <c r="F45" s="305">
        <v>240</v>
      </c>
      <c r="G45" s="292">
        <f>пр2!F58</f>
        <v>550</v>
      </c>
    </row>
    <row r="46" spans="1:7" s="81" customFormat="1" ht="15" hidden="1" thickBot="1">
      <c r="A46" s="262" t="s">
        <v>27</v>
      </c>
      <c r="B46" s="126" t="s">
        <v>81</v>
      </c>
      <c r="C46" s="126">
        <v>4</v>
      </c>
      <c r="D46" s="126">
        <v>0</v>
      </c>
      <c r="E46" s="146" t="s">
        <v>146</v>
      </c>
      <c r="F46" s="127">
        <v>0</v>
      </c>
      <c r="G46" s="147">
        <f>G47+G48</f>
        <v>900</v>
      </c>
    </row>
    <row r="47" spans="1:7" s="81" customFormat="1" ht="15" hidden="1" thickBot="1">
      <c r="A47" s="251" t="s">
        <v>136</v>
      </c>
      <c r="B47" s="229" t="s">
        <v>81</v>
      </c>
      <c r="C47" s="190">
        <v>4</v>
      </c>
      <c r="D47" s="190">
        <v>9</v>
      </c>
      <c r="E47" s="252" t="s">
        <v>146</v>
      </c>
      <c r="F47" s="253">
        <v>0</v>
      </c>
      <c r="G47" s="254">
        <f>G49+G50</f>
        <v>900</v>
      </c>
    </row>
    <row r="48" spans="1:7" s="81" customFormat="1" ht="25.2" thickBot="1">
      <c r="A48" s="306" t="s">
        <v>241</v>
      </c>
      <c r="B48" s="307" t="s">
        <v>81</v>
      </c>
      <c r="C48" s="308">
        <v>4</v>
      </c>
      <c r="D48" s="308">
        <v>9</v>
      </c>
      <c r="E48" s="309">
        <v>1530053900</v>
      </c>
      <c r="F48" s="310">
        <v>200</v>
      </c>
      <c r="G48" s="311"/>
    </row>
    <row r="49" spans="1:7" s="81" customFormat="1" ht="15" hidden="1" thickBot="1">
      <c r="A49" s="263" t="s">
        <v>137</v>
      </c>
      <c r="B49" s="264" t="s">
        <v>81</v>
      </c>
      <c r="C49" s="142">
        <v>4</v>
      </c>
      <c r="D49" s="142">
        <v>9</v>
      </c>
      <c r="E49" s="162" t="s">
        <v>155</v>
      </c>
      <c r="F49" s="143">
        <v>200</v>
      </c>
      <c r="G49" s="137">
        <f>пр2!F66</f>
        <v>0</v>
      </c>
    </row>
    <row r="50" spans="1:7" s="81" customFormat="1" ht="15" hidden="1" thickBot="1">
      <c r="A50" s="129" t="s">
        <v>149</v>
      </c>
      <c r="B50" s="68" t="s">
        <v>81</v>
      </c>
      <c r="C50" s="11">
        <v>4</v>
      </c>
      <c r="D50" s="11">
        <v>12</v>
      </c>
      <c r="E50" s="42" t="s">
        <v>146</v>
      </c>
      <c r="F50" s="12">
        <v>0</v>
      </c>
      <c r="G50" s="148">
        <f>G51</f>
        <v>900</v>
      </c>
    </row>
    <row r="51" spans="1:7" s="81" customFormat="1" ht="15" hidden="1" thickBot="1">
      <c r="A51" s="230" t="s">
        <v>149</v>
      </c>
      <c r="B51" s="255" t="s">
        <v>81</v>
      </c>
      <c r="C51" s="190">
        <v>4</v>
      </c>
      <c r="D51" s="190">
        <v>12</v>
      </c>
      <c r="E51" s="14">
        <v>9992649900</v>
      </c>
      <c r="F51" s="253">
        <v>200</v>
      </c>
      <c r="G51" s="256">
        <f>пр2!F69</f>
        <v>900</v>
      </c>
    </row>
    <row r="52" spans="1:7" ht="15" thickBot="1">
      <c r="A52" s="312" t="s">
        <v>29</v>
      </c>
      <c r="B52" s="1" t="s">
        <v>81</v>
      </c>
      <c r="C52" s="1">
        <v>5</v>
      </c>
      <c r="D52" s="1">
        <v>0</v>
      </c>
      <c r="E52" s="42" t="s">
        <v>146</v>
      </c>
      <c r="F52" s="3">
        <v>0</v>
      </c>
      <c r="G52" s="284">
        <f>G53+G55+G58</f>
        <v>6637.1</v>
      </c>
    </row>
    <row r="53" spans="1:7" ht="15" thickBot="1">
      <c r="A53" s="32" t="s">
        <v>32</v>
      </c>
      <c r="B53" s="71" t="s">
        <v>81</v>
      </c>
      <c r="C53" s="11">
        <v>5</v>
      </c>
      <c r="D53" s="11">
        <v>2</v>
      </c>
      <c r="E53" s="42" t="s">
        <v>146</v>
      </c>
      <c r="F53" s="12">
        <v>0</v>
      </c>
      <c r="G53" s="191">
        <f>G54</f>
        <v>2653</v>
      </c>
    </row>
    <row r="54" spans="1:7" ht="15" thickBot="1">
      <c r="A54" s="30" t="s">
        <v>33</v>
      </c>
      <c r="B54" s="72" t="s">
        <v>81</v>
      </c>
      <c r="C54" s="4">
        <v>5</v>
      </c>
      <c r="D54" s="4">
        <v>2</v>
      </c>
      <c r="E54" s="5">
        <v>9940023510</v>
      </c>
      <c r="F54" s="6">
        <v>200</v>
      </c>
      <c r="G54" s="286">
        <f>пр2!F74</f>
        <v>2653</v>
      </c>
    </row>
    <row r="55" spans="1:7" s="81" customFormat="1" ht="15" thickBot="1">
      <c r="A55" s="32" t="s">
        <v>34</v>
      </c>
      <c r="B55" s="71" t="s">
        <v>81</v>
      </c>
      <c r="C55" s="11">
        <v>5</v>
      </c>
      <c r="D55" s="11">
        <v>3</v>
      </c>
      <c r="E55" s="42" t="s">
        <v>146</v>
      </c>
      <c r="F55" s="12">
        <v>0</v>
      </c>
      <c r="G55" s="191">
        <f>G56+G57</f>
        <v>3984.1</v>
      </c>
    </row>
    <row r="56" spans="1:7">
      <c r="A56" s="33" t="s">
        <v>35</v>
      </c>
      <c r="B56" s="69" t="s">
        <v>81</v>
      </c>
      <c r="C56" s="4">
        <v>5</v>
      </c>
      <c r="D56" s="4">
        <v>3</v>
      </c>
      <c r="E56" s="5" t="s">
        <v>155</v>
      </c>
      <c r="F56" s="6">
        <v>400</v>
      </c>
      <c r="G56" s="286"/>
    </row>
    <row r="57" spans="1:7" s="81" customFormat="1" ht="25.2" thickBot="1">
      <c r="A57" s="303" t="s">
        <v>242</v>
      </c>
      <c r="B57" s="289" t="s">
        <v>81</v>
      </c>
      <c r="C57" s="183">
        <v>5</v>
      </c>
      <c r="D57" s="183">
        <v>3</v>
      </c>
      <c r="E57" s="313" t="s">
        <v>243</v>
      </c>
      <c r="F57" s="305">
        <v>414</v>
      </c>
      <c r="G57" s="314">
        <f>пр2!F81</f>
        <v>3984.1</v>
      </c>
    </row>
    <row r="58" spans="1:7" s="81" customFormat="1" ht="15" hidden="1" thickBot="1">
      <c r="A58" s="34" t="s">
        <v>36</v>
      </c>
      <c r="B58" s="199" t="s">
        <v>81</v>
      </c>
      <c r="C58" s="19">
        <v>5</v>
      </c>
      <c r="D58" s="19">
        <v>5</v>
      </c>
      <c r="E58" s="146" t="s">
        <v>146</v>
      </c>
      <c r="F58" s="21">
        <v>0</v>
      </c>
      <c r="G58" s="117">
        <f>G59</f>
        <v>0</v>
      </c>
    </row>
    <row r="59" spans="1:7" s="81" customFormat="1" ht="15" hidden="1" thickBot="1">
      <c r="A59" s="33" t="s">
        <v>37</v>
      </c>
      <c r="B59" s="229" t="s">
        <v>81</v>
      </c>
      <c r="C59" s="13">
        <v>5</v>
      </c>
      <c r="D59" s="13">
        <v>5</v>
      </c>
      <c r="E59" s="14">
        <v>9990029900</v>
      </c>
      <c r="F59" s="15">
        <v>600</v>
      </c>
      <c r="G59" s="204">
        <f>пр2!F83</f>
        <v>0</v>
      </c>
    </row>
    <row r="60" spans="1:7" ht="15" thickBot="1">
      <c r="A60" s="29" t="s">
        <v>38</v>
      </c>
      <c r="B60" s="315" t="s">
        <v>81</v>
      </c>
      <c r="C60" s="1">
        <v>7</v>
      </c>
      <c r="D60" s="1">
        <v>0</v>
      </c>
      <c r="E60" s="42" t="s">
        <v>146</v>
      </c>
      <c r="F60" s="3">
        <v>0</v>
      </c>
      <c r="G60" s="284">
        <f>G64+G62+G61</f>
        <v>857</v>
      </c>
    </row>
    <row r="61" spans="1:7" s="81" customFormat="1" ht="24.6" thickBot="1">
      <c r="A61" s="219" t="s">
        <v>244</v>
      </c>
      <c r="B61" s="68" t="s">
        <v>81</v>
      </c>
      <c r="C61" s="220">
        <v>7</v>
      </c>
      <c r="D61" s="220">
        <v>2</v>
      </c>
      <c r="E61" s="42" t="s">
        <v>245</v>
      </c>
      <c r="F61" s="221">
        <v>200</v>
      </c>
      <c r="G61" s="316"/>
    </row>
    <row r="62" spans="1:7" s="81" customFormat="1" ht="15" thickBot="1">
      <c r="A62" s="32" t="s">
        <v>46</v>
      </c>
      <c r="B62" s="71" t="s">
        <v>81</v>
      </c>
      <c r="C62" s="11">
        <v>7</v>
      </c>
      <c r="D62" s="11">
        <v>7</v>
      </c>
      <c r="E62" s="42" t="s">
        <v>146</v>
      </c>
      <c r="F62" s="12">
        <v>0</v>
      </c>
      <c r="G62" s="285">
        <f>G63</f>
        <v>500</v>
      </c>
    </row>
    <row r="63" spans="1:7" s="81" customFormat="1" ht="15" thickBot="1">
      <c r="A63" s="30" t="s">
        <v>47</v>
      </c>
      <c r="B63" s="69" t="s">
        <v>81</v>
      </c>
      <c r="C63" s="4">
        <v>7</v>
      </c>
      <c r="D63" s="4">
        <v>7</v>
      </c>
      <c r="E63" s="5" t="s">
        <v>158</v>
      </c>
      <c r="F63" s="6">
        <v>200</v>
      </c>
      <c r="G63" s="317">
        <f>пр2!F128</f>
        <v>500</v>
      </c>
    </row>
    <row r="64" spans="1:7" ht="15" thickBot="1">
      <c r="A64" s="32" t="s">
        <v>48</v>
      </c>
      <c r="B64" s="69" t="s">
        <v>81</v>
      </c>
      <c r="C64" s="11">
        <v>7</v>
      </c>
      <c r="D64" s="11">
        <v>9</v>
      </c>
      <c r="E64" s="42" t="s">
        <v>146</v>
      </c>
      <c r="F64" s="12">
        <v>0</v>
      </c>
      <c r="G64" s="191">
        <f>SUM(G65:G67)</f>
        <v>357</v>
      </c>
    </row>
    <row r="65" spans="1:7">
      <c r="A65" s="30" t="s">
        <v>21</v>
      </c>
      <c r="B65" s="69" t="s">
        <v>81</v>
      </c>
      <c r="C65" s="4">
        <v>7</v>
      </c>
      <c r="D65" s="4">
        <v>9</v>
      </c>
      <c r="E65" s="5">
        <v>9980077740</v>
      </c>
      <c r="F65" s="6">
        <v>100</v>
      </c>
      <c r="G65" s="186">
        <f>пр2!F134</f>
        <v>300</v>
      </c>
    </row>
    <row r="66" spans="1:7" s="81" customFormat="1" ht="15" thickBot="1">
      <c r="A66" s="288" t="s">
        <v>21</v>
      </c>
      <c r="B66" s="289" t="s">
        <v>131</v>
      </c>
      <c r="C66" s="183">
        <v>7</v>
      </c>
      <c r="D66" s="183">
        <v>9</v>
      </c>
      <c r="E66" s="184">
        <v>9980077740</v>
      </c>
      <c r="F66" s="305">
        <v>200</v>
      </c>
      <c r="G66" s="188">
        <f>пр2!F135</f>
        <v>57</v>
      </c>
    </row>
    <row r="67" spans="1:7" s="81" customFormat="1" ht="15" thickBot="1">
      <c r="A67" s="160" t="s">
        <v>31</v>
      </c>
      <c r="B67" s="231" t="s">
        <v>81</v>
      </c>
      <c r="C67" s="51">
        <v>7</v>
      </c>
      <c r="D67" s="51">
        <v>9</v>
      </c>
      <c r="E67" s="52">
        <v>7950000</v>
      </c>
      <c r="F67" s="53">
        <v>400</v>
      </c>
      <c r="G67" s="118">
        <v>0</v>
      </c>
    </row>
    <row r="68" spans="1:7" s="81" customFormat="1" ht="15" thickBot="1">
      <c r="A68" s="29" t="s">
        <v>64</v>
      </c>
      <c r="B68" s="318" t="s">
        <v>81</v>
      </c>
      <c r="C68" s="1">
        <v>10</v>
      </c>
      <c r="D68" s="1">
        <v>0</v>
      </c>
      <c r="E68" s="42" t="s">
        <v>146</v>
      </c>
      <c r="F68" s="3">
        <v>0</v>
      </c>
      <c r="G68" s="284">
        <f>G69+G71+G73</f>
        <v>2109.5</v>
      </c>
    </row>
    <row r="69" spans="1:7" s="81" customFormat="1" ht="15" thickBot="1">
      <c r="A69" s="39" t="s">
        <v>65</v>
      </c>
      <c r="B69" s="68" t="s">
        <v>81</v>
      </c>
      <c r="C69" s="23">
        <v>10</v>
      </c>
      <c r="D69" s="54">
        <v>1</v>
      </c>
      <c r="E69" s="42" t="s">
        <v>146</v>
      </c>
      <c r="F69" s="55">
        <v>0</v>
      </c>
      <c r="G69" s="319">
        <f>G70</f>
        <v>1104.0999999999999</v>
      </c>
    </row>
    <row r="70" spans="1:7" s="81" customFormat="1" ht="25.2" thickBot="1">
      <c r="A70" s="320" t="s">
        <v>66</v>
      </c>
      <c r="B70" s="321" t="s">
        <v>81</v>
      </c>
      <c r="C70" s="322">
        <v>10</v>
      </c>
      <c r="D70" s="323">
        <v>1</v>
      </c>
      <c r="E70" s="324">
        <v>9994910100</v>
      </c>
      <c r="F70" s="325">
        <v>300</v>
      </c>
      <c r="G70" s="326">
        <f>пр2!F179</f>
        <v>1104.0999999999999</v>
      </c>
    </row>
    <row r="71" spans="1:7" ht="15" hidden="1" thickBot="1">
      <c r="A71" s="39" t="s">
        <v>67</v>
      </c>
      <c r="B71" s="121" t="s">
        <v>81</v>
      </c>
      <c r="C71" s="23">
        <v>10</v>
      </c>
      <c r="D71" s="54">
        <v>3</v>
      </c>
      <c r="E71" s="146" t="s">
        <v>146</v>
      </c>
      <c r="F71" s="55">
        <v>0</v>
      </c>
      <c r="G71" s="89">
        <f>G72</f>
        <v>0</v>
      </c>
    </row>
    <row r="72" spans="1:7" s="81" customFormat="1" ht="24.6" hidden="1" thickBot="1">
      <c r="A72" s="37" t="s">
        <v>68</v>
      </c>
      <c r="B72" s="120" t="s">
        <v>81</v>
      </c>
      <c r="C72" s="16">
        <v>10</v>
      </c>
      <c r="D72" s="17">
        <v>3</v>
      </c>
      <c r="E72" s="257">
        <v>2210872011</v>
      </c>
      <c r="F72" s="18">
        <v>600</v>
      </c>
      <c r="G72" s="258">
        <f>пр2!F182</f>
        <v>0</v>
      </c>
    </row>
    <row r="73" spans="1:7" s="81" customFormat="1">
      <c r="A73" s="327" t="s">
        <v>69</v>
      </c>
      <c r="B73" s="328" t="s">
        <v>81</v>
      </c>
      <c r="C73" s="329">
        <v>10</v>
      </c>
      <c r="D73" s="330">
        <v>4</v>
      </c>
      <c r="E73" s="331">
        <v>0</v>
      </c>
      <c r="F73" s="332">
        <v>0</v>
      </c>
      <c r="G73" s="285">
        <f>G75+G74</f>
        <v>1005.4</v>
      </c>
    </row>
    <row r="74" spans="1:7" s="81" customFormat="1" ht="36">
      <c r="A74" s="36" t="s">
        <v>96</v>
      </c>
      <c r="B74" s="69" t="s">
        <v>81</v>
      </c>
      <c r="C74" s="24">
        <v>10</v>
      </c>
      <c r="D74" s="25">
        <v>4</v>
      </c>
      <c r="E74" s="26">
        <v>2250050820</v>
      </c>
      <c r="F74" s="27">
        <v>400</v>
      </c>
      <c r="G74" s="286">
        <f>пр2!F184</f>
        <v>502.7</v>
      </c>
    </row>
    <row r="75" spans="1:7" ht="36.6" thickBot="1">
      <c r="A75" s="36" t="s">
        <v>96</v>
      </c>
      <c r="B75" s="69" t="s">
        <v>81</v>
      </c>
      <c r="C75" s="24">
        <v>10</v>
      </c>
      <c r="D75" s="25">
        <v>4</v>
      </c>
      <c r="E75" s="26" t="s">
        <v>176</v>
      </c>
      <c r="F75" s="27">
        <v>400</v>
      </c>
      <c r="G75" s="186">
        <f>пр2!F185</f>
        <v>502.7</v>
      </c>
    </row>
    <row r="76" spans="1:7" s="81" customFormat="1" ht="15" thickBot="1">
      <c r="A76" s="29" t="s">
        <v>97</v>
      </c>
      <c r="B76" s="69" t="s">
        <v>81</v>
      </c>
      <c r="C76" s="1">
        <v>11</v>
      </c>
      <c r="D76" s="1">
        <v>0</v>
      </c>
      <c r="E76" s="42" t="s">
        <v>146</v>
      </c>
      <c r="F76" s="3">
        <v>0</v>
      </c>
      <c r="G76" s="284">
        <f>G77+G79</f>
        <v>400</v>
      </c>
    </row>
    <row r="77" spans="1:7" ht="15" thickBot="1">
      <c r="A77" s="41" t="s">
        <v>98</v>
      </c>
      <c r="B77" s="74" t="s">
        <v>81</v>
      </c>
      <c r="C77" s="7">
        <v>11</v>
      </c>
      <c r="D77" s="8">
        <v>1</v>
      </c>
      <c r="E77" s="42" t="s">
        <v>146</v>
      </c>
      <c r="F77" s="10">
        <v>0</v>
      </c>
      <c r="G77" s="302">
        <f>G78</f>
        <v>400</v>
      </c>
    </row>
    <row r="78" spans="1:7" ht="24.6" thickBot="1">
      <c r="A78" s="333" t="s">
        <v>99</v>
      </c>
      <c r="B78" s="334" t="s">
        <v>81</v>
      </c>
      <c r="C78" s="322">
        <v>11</v>
      </c>
      <c r="D78" s="323">
        <v>1</v>
      </c>
      <c r="E78" s="335" t="s">
        <v>163</v>
      </c>
      <c r="F78" s="325">
        <v>200</v>
      </c>
      <c r="G78" s="188">
        <f>пр2!F192</f>
        <v>400</v>
      </c>
    </row>
    <row r="79" spans="1:7" s="81" customFormat="1" ht="15" hidden="1" thickBot="1">
      <c r="A79" s="265" t="s">
        <v>100</v>
      </c>
      <c r="B79" s="231" t="s">
        <v>81</v>
      </c>
      <c r="C79" s="225">
        <v>11</v>
      </c>
      <c r="D79" s="226">
        <v>2</v>
      </c>
      <c r="E79" s="266">
        <v>0</v>
      </c>
      <c r="F79" s="267">
        <v>0</v>
      </c>
      <c r="G79" s="259">
        <f>G80</f>
        <v>0</v>
      </c>
    </row>
    <row r="80" spans="1:7" s="81" customFormat="1" ht="15" thickBot="1">
      <c r="A80" s="336" t="s">
        <v>100</v>
      </c>
      <c r="B80" s="337" t="s">
        <v>81</v>
      </c>
      <c r="C80" s="338">
        <v>11</v>
      </c>
      <c r="D80" s="339">
        <v>2</v>
      </c>
      <c r="E80" s="340">
        <v>9995129700</v>
      </c>
      <c r="F80" s="341">
        <v>200</v>
      </c>
      <c r="G80" s="311"/>
    </row>
    <row r="81" spans="1:7" s="81" customFormat="1" ht="15" thickBot="1">
      <c r="A81" s="29" t="s">
        <v>101</v>
      </c>
      <c r="B81" s="122" t="s">
        <v>81</v>
      </c>
      <c r="C81" s="119">
        <v>12</v>
      </c>
      <c r="D81" s="1">
        <v>0</v>
      </c>
      <c r="E81" s="42" t="s">
        <v>146</v>
      </c>
      <c r="F81" s="3">
        <v>0</v>
      </c>
      <c r="G81" s="342">
        <f>G82</f>
        <v>2625</v>
      </c>
    </row>
    <row r="82" spans="1:7" s="81" customFormat="1" ht="15" thickBot="1">
      <c r="A82" s="32" t="s">
        <v>54</v>
      </c>
      <c r="B82" s="121" t="s">
        <v>81</v>
      </c>
      <c r="C82" s="11">
        <v>12</v>
      </c>
      <c r="D82" s="11">
        <v>2</v>
      </c>
      <c r="E82" s="42" t="s">
        <v>146</v>
      </c>
      <c r="F82" s="12">
        <v>0</v>
      </c>
      <c r="G82" s="343">
        <f>G83</f>
        <v>2625</v>
      </c>
    </row>
    <row r="83" spans="1:7" s="81" customFormat="1" ht="25.2" thickBot="1">
      <c r="A83" s="30" t="s">
        <v>55</v>
      </c>
      <c r="B83" s="74" t="s">
        <v>81</v>
      </c>
      <c r="C83" s="4">
        <v>12</v>
      </c>
      <c r="D83" s="4">
        <v>2</v>
      </c>
      <c r="E83" s="140" t="s">
        <v>164</v>
      </c>
      <c r="F83" s="6">
        <v>600</v>
      </c>
      <c r="G83" s="188">
        <f>пр2!F199</f>
        <v>2625</v>
      </c>
    </row>
    <row r="84" spans="1:7" s="81" customFormat="1" ht="15" thickBot="1">
      <c r="A84" s="192" t="s">
        <v>200</v>
      </c>
      <c r="B84" s="193" t="s">
        <v>81</v>
      </c>
      <c r="C84" s="194">
        <v>1</v>
      </c>
      <c r="D84" s="194">
        <v>3</v>
      </c>
      <c r="E84" s="194" t="s">
        <v>146</v>
      </c>
      <c r="F84" s="3">
        <v>0</v>
      </c>
      <c r="G84" s="189">
        <f>G85</f>
        <v>2185.4</v>
      </c>
    </row>
    <row r="85" spans="1:7" s="81" customFormat="1" ht="24.6" thickBot="1">
      <c r="A85" s="195" t="s">
        <v>12</v>
      </c>
      <c r="B85" s="72" t="s">
        <v>81</v>
      </c>
      <c r="C85" s="190">
        <v>1</v>
      </c>
      <c r="D85" s="190">
        <v>3</v>
      </c>
      <c r="E85" s="145" t="s">
        <v>146</v>
      </c>
      <c r="F85" s="3">
        <v>0</v>
      </c>
      <c r="G85" s="191">
        <f>G86+G87+G88+G89</f>
        <v>2185.4</v>
      </c>
    </row>
    <row r="86" spans="1:7" s="81" customFormat="1">
      <c r="A86" s="185" t="s">
        <v>13</v>
      </c>
      <c r="B86" s="72" t="s">
        <v>81</v>
      </c>
      <c r="C86" s="13">
        <v>1</v>
      </c>
      <c r="D86" s="13">
        <v>3</v>
      </c>
      <c r="E86" s="5" t="s">
        <v>152</v>
      </c>
      <c r="F86" s="13">
        <v>100</v>
      </c>
      <c r="G86" s="186">
        <f>пр2!F15</f>
        <v>1200</v>
      </c>
    </row>
    <row r="87" spans="1:7" s="81" customFormat="1">
      <c r="A87" s="185" t="s">
        <v>11</v>
      </c>
      <c r="B87" s="72" t="s">
        <v>81</v>
      </c>
      <c r="C87" s="13">
        <v>1</v>
      </c>
      <c r="D87" s="13">
        <v>3</v>
      </c>
      <c r="E87" s="5" t="s">
        <v>151</v>
      </c>
      <c r="F87" s="13">
        <v>100</v>
      </c>
      <c r="G87" s="186">
        <f>пр2!F16</f>
        <v>606</v>
      </c>
    </row>
    <row r="88" spans="1:7" s="81" customFormat="1" ht="15" thickBot="1">
      <c r="A88" s="187" t="s">
        <v>11</v>
      </c>
      <c r="B88" s="196" t="s">
        <v>81</v>
      </c>
      <c r="C88" s="183">
        <v>1</v>
      </c>
      <c r="D88" s="183">
        <v>3</v>
      </c>
      <c r="E88" s="184" t="s">
        <v>151</v>
      </c>
      <c r="F88" s="183">
        <v>200</v>
      </c>
      <c r="G88" s="188">
        <f>пр2!F17</f>
        <v>364.4</v>
      </c>
    </row>
    <row r="89" spans="1:7" s="81" customFormat="1" ht="15" thickBot="1">
      <c r="A89" s="187" t="s">
        <v>11</v>
      </c>
      <c r="B89" s="196" t="s">
        <v>81</v>
      </c>
      <c r="C89" s="183">
        <v>1</v>
      </c>
      <c r="D89" s="183">
        <v>3</v>
      </c>
      <c r="E89" s="184" t="s">
        <v>151</v>
      </c>
      <c r="F89" s="183">
        <v>800</v>
      </c>
      <c r="G89" s="375">
        <f>пр2!F18</f>
        <v>15</v>
      </c>
    </row>
    <row r="90" spans="1:7" s="81" customFormat="1" ht="15" thickBot="1">
      <c r="A90" s="344" t="s">
        <v>90</v>
      </c>
      <c r="B90" s="71" t="s">
        <v>118</v>
      </c>
      <c r="C90" s="59"/>
      <c r="D90" s="59"/>
      <c r="E90" s="59"/>
      <c r="F90" s="59"/>
      <c r="G90" s="345">
        <f>G92+G96+G98+G104+G107+G117+G119+G101</f>
        <v>66398.202000000005</v>
      </c>
    </row>
    <row r="91" spans="1:7" s="81" customFormat="1" ht="15" thickBot="1">
      <c r="A91" s="29" t="s">
        <v>8</v>
      </c>
      <c r="B91" s="71" t="s">
        <v>118</v>
      </c>
      <c r="C91" s="1">
        <v>1</v>
      </c>
      <c r="D91" s="1">
        <v>0</v>
      </c>
      <c r="E91" s="42" t="s">
        <v>146</v>
      </c>
      <c r="F91" s="3">
        <v>0</v>
      </c>
      <c r="G91" s="284">
        <f>G92+G96</f>
        <v>3254</v>
      </c>
    </row>
    <row r="92" spans="1:7" s="81" customFormat="1" ht="24.6" thickBot="1">
      <c r="A92" s="32" t="s">
        <v>15</v>
      </c>
      <c r="B92" s="68" t="s">
        <v>118</v>
      </c>
      <c r="C92" s="11">
        <v>1</v>
      </c>
      <c r="D92" s="11">
        <v>6</v>
      </c>
      <c r="E92" s="42" t="s">
        <v>146</v>
      </c>
      <c r="F92" s="12">
        <v>0</v>
      </c>
      <c r="G92" s="287">
        <f>SUM(G93:G95)</f>
        <v>3236</v>
      </c>
    </row>
    <row r="93" spans="1:7" s="81" customFormat="1">
      <c r="A93" s="30" t="s">
        <v>11</v>
      </c>
      <c r="B93" s="69" t="s">
        <v>118</v>
      </c>
      <c r="C93" s="4">
        <v>1</v>
      </c>
      <c r="D93" s="4">
        <v>6</v>
      </c>
      <c r="E93" s="5" t="s">
        <v>151</v>
      </c>
      <c r="F93" s="6">
        <v>100</v>
      </c>
      <c r="G93" s="286">
        <f>пр2!F31</f>
        <v>2869</v>
      </c>
    </row>
    <row r="94" spans="1:7" s="81" customFormat="1">
      <c r="A94" s="30" t="s">
        <v>11</v>
      </c>
      <c r="B94" s="69" t="s">
        <v>118</v>
      </c>
      <c r="C94" s="4">
        <v>1</v>
      </c>
      <c r="D94" s="4">
        <v>6</v>
      </c>
      <c r="E94" s="5" t="s">
        <v>151</v>
      </c>
      <c r="F94" s="6">
        <v>200</v>
      </c>
      <c r="G94" s="286">
        <f>пр2!F32</f>
        <v>365</v>
      </c>
    </row>
    <row r="95" spans="1:7" s="81" customFormat="1">
      <c r="A95" s="30" t="s">
        <v>11</v>
      </c>
      <c r="B95" s="69" t="s">
        <v>118</v>
      </c>
      <c r="C95" s="4">
        <v>1</v>
      </c>
      <c r="D95" s="4">
        <v>6</v>
      </c>
      <c r="E95" s="5" t="s">
        <v>151</v>
      </c>
      <c r="F95" s="6">
        <v>800</v>
      </c>
      <c r="G95" s="286">
        <f>пр2!F33</f>
        <v>2</v>
      </c>
    </row>
    <row r="96" spans="1:7" ht="24">
      <c r="A96" s="31" t="s">
        <v>104</v>
      </c>
      <c r="B96" s="68" t="s">
        <v>118</v>
      </c>
      <c r="C96" s="11">
        <v>13</v>
      </c>
      <c r="D96" s="11">
        <v>1</v>
      </c>
      <c r="E96" s="9">
        <v>0</v>
      </c>
      <c r="F96" s="12">
        <v>0</v>
      </c>
      <c r="G96" s="191">
        <f>G97</f>
        <v>18</v>
      </c>
    </row>
    <row r="97" spans="1:7" ht="15" thickBot="1">
      <c r="A97" s="40" t="s">
        <v>104</v>
      </c>
      <c r="B97" s="69" t="s">
        <v>118</v>
      </c>
      <c r="C97" s="13">
        <v>13</v>
      </c>
      <c r="D97" s="13">
        <v>1</v>
      </c>
      <c r="E97" s="156">
        <v>9930320000</v>
      </c>
      <c r="F97" s="15">
        <v>700</v>
      </c>
      <c r="G97" s="286">
        <f>пр2!F204</f>
        <v>18</v>
      </c>
    </row>
    <row r="98" spans="1:7" s="81" customFormat="1" ht="15" thickBot="1">
      <c r="A98" s="29" t="s">
        <v>115</v>
      </c>
      <c r="B98" s="68" t="s">
        <v>118</v>
      </c>
      <c r="C98" s="1">
        <v>2</v>
      </c>
      <c r="D98" s="1">
        <v>0</v>
      </c>
      <c r="E98" s="42" t="s">
        <v>146</v>
      </c>
      <c r="F98" s="3">
        <v>0</v>
      </c>
      <c r="G98" s="284">
        <f>G99</f>
        <v>1299</v>
      </c>
    </row>
    <row r="99" spans="1:7" s="81" customFormat="1" ht="15" thickBot="1">
      <c r="A99" s="31" t="s">
        <v>116</v>
      </c>
      <c r="B99" s="68" t="s">
        <v>118</v>
      </c>
      <c r="C99" s="7">
        <v>2</v>
      </c>
      <c r="D99" s="8">
        <v>3</v>
      </c>
      <c r="E99" s="42" t="s">
        <v>146</v>
      </c>
      <c r="F99" s="10">
        <v>0</v>
      </c>
      <c r="G99" s="284">
        <f>G100</f>
        <v>1299</v>
      </c>
    </row>
    <row r="100" spans="1:7" s="81" customFormat="1" ht="24.6" thickBot="1">
      <c r="A100" s="36" t="s">
        <v>117</v>
      </c>
      <c r="B100" s="69" t="s">
        <v>118</v>
      </c>
      <c r="C100" s="16">
        <v>2</v>
      </c>
      <c r="D100" s="17">
        <v>3</v>
      </c>
      <c r="E100" s="141">
        <v>9980051180</v>
      </c>
      <c r="F100" s="203">
        <v>500</v>
      </c>
      <c r="G100" s="346">
        <f>пр2!F47</f>
        <v>1299</v>
      </c>
    </row>
    <row r="101" spans="1:7" s="81" customFormat="1" ht="15" thickBot="1">
      <c r="A101" s="29" t="s">
        <v>24</v>
      </c>
      <c r="B101" s="68" t="s">
        <v>81</v>
      </c>
      <c r="C101" s="1">
        <v>3</v>
      </c>
      <c r="D101" s="1">
        <v>0</v>
      </c>
      <c r="E101" s="42" t="s">
        <v>146</v>
      </c>
      <c r="F101" s="3">
        <v>0</v>
      </c>
      <c r="G101" s="284">
        <f>G102</f>
        <v>1050</v>
      </c>
    </row>
    <row r="102" spans="1:7" s="81" customFormat="1" ht="24.6" thickBot="1">
      <c r="A102" s="39" t="s">
        <v>25</v>
      </c>
      <c r="B102" s="69" t="s">
        <v>81</v>
      </c>
      <c r="C102" s="23">
        <v>3</v>
      </c>
      <c r="D102" s="54">
        <v>9</v>
      </c>
      <c r="E102" s="42" t="s">
        <v>146</v>
      </c>
      <c r="F102" s="55">
        <v>0</v>
      </c>
      <c r="G102" s="287">
        <f>G103</f>
        <v>1050</v>
      </c>
    </row>
    <row r="103" spans="1:7" s="81" customFormat="1">
      <c r="A103" s="125" t="s">
        <v>26</v>
      </c>
      <c r="B103" s="69" t="s">
        <v>81</v>
      </c>
      <c r="C103" s="24">
        <v>3</v>
      </c>
      <c r="D103" s="25">
        <v>9</v>
      </c>
      <c r="E103" s="5">
        <v>9940020990</v>
      </c>
      <c r="F103" s="62">
        <v>500</v>
      </c>
      <c r="G103" s="286">
        <f>пр2!F56</f>
        <v>1050</v>
      </c>
    </row>
    <row r="104" spans="1:7" s="81" customFormat="1">
      <c r="A104" s="136" t="s">
        <v>136</v>
      </c>
      <c r="B104" s="68" t="s">
        <v>118</v>
      </c>
      <c r="C104" s="7">
        <v>4</v>
      </c>
      <c r="D104" s="7">
        <v>9</v>
      </c>
      <c r="E104" s="9" t="s">
        <v>155</v>
      </c>
      <c r="F104" s="43">
        <v>0</v>
      </c>
      <c r="G104" s="302">
        <f>G106+G105</f>
        <v>11923.402</v>
      </c>
    </row>
    <row r="105" spans="1:7" s="81" customFormat="1">
      <c r="A105" s="347" t="s">
        <v>263</v>
      </c>
      <c r="B105" s="229" t="s">
        <v>118</v>
      </c>
      <c r="C105" s="166">
        <v>4</v>
      </c>
      <c r="D105" s="167">
        <v>9</v>
      </c>
      <c r="E105" s="52">
        <v>1530053900</v>
      </c>
      <c r="F105" s="224">
        <v>500</v>
      </c>
      <c r="G105" s="348">
        <f>пр2!F65</f>
        <v>5902.5020000000004</v>
      </c>
    </row>
    <row r="106" spans="1:7" s="81" customFormat="1">
      <c r="A106" s="347" t="s">
        <v>137</v>
      </c>
      <c r="B106" s="229" t="s">
        <v>118</v>
      </c>
      <c r="C106" s="166">
        <v>4</v>
      </c>
      <c r="D106" s="167">
        <v>9</v>
      </c>
      <c r="E106" s="52" t="s">
        <v>155</v>
      </c>
      <c r="F106" s="224">
        <v>500</v>
      </c>
      <c r="G106" s="348">
        <f>пр2!F67</f>
        <v>6020.9</v>
      </c>
    </row>
    <row r="107" spans="1:7" s="81" customFormat="1">
      <c r="A107" s="136" t="s">
        <v>29</v>
      </c>
      <c r="B107" s="68" t="s">
        <v>118</v>
      </c>
      <c r="C107" s="7">
        <v>5</v>
      </c>
      <c r="D107" s="7">
        <v>0</v>
      </c>
      <c r="E107" s="9">
        <v>0</v>
      </c>
      <c r="F107" s="43">
        <v>0</v>
      </c>
      <c r="G107" s="302">
        <f>G108+G110</f>
        <v>7480</v>
      </c>
    </row>
    <row r="108" spans="1:7" s="81" customFormat="1">
      <c r="A108" s="157" t="s">
        <v>32</v>
      </c>
      <c r="B108" s="231" t="s">
        <v>118</v>
      </c>
      <c r="C108" s="225">
        <v>5</v>
      </c>
      <c r="D108" s="226">
        <v>2</v>
      </c>
      <c r="E108" s="223">
        <v>9940023510</v>
      </c>
      <c r="F108" s="227">
        <v>500</v>
      </c>
      <c r="G108" s="349">
        <f>G109</f>
        <v>1000</v>
      </c>
    </row>
    <row r="109" spans="1:7" s="81" customFormat="1">
      <c r="A109" s="185" t="s">
        <v>258</v>
      </c>
      <c r="B109" s="69" t="s">
        <v>257</v>
      </c>
      <c r="C109" s="24">
        <v>5</v>
      </c>
      <c r="D109" s="24">
        <v>2</v>
      </c>
      <c r="E109" s="5">
        <v>9940023510</v>
      </c>
      <c r="F109" s="62">
        <v>500</v>
      </c>
      <c r="G109" s="286">
        <f>пр2!F75</f>
        <v>1000</v>
      </c>
    </row>
    <row r="110" spans="1:7" s="81" customFormat="1" ht="15" thickBot="1">
      <c r="A110" s="136" t="s">
        <v>34</v>
      </c>
      <c r="B110" s="121">
        <v>992</v>
      </c>
      <c r="C110" s="19">
        <v>5</v>
      </c>
      <c r="D110" s="19">
        <v>3</v>
      </c>
      <c r="E110" s="228">
        <v>0</v>
      </c>
      <c r="F110" s="127">
        <v>0</v>
      </c>
      <c r="G110" s="350">
        <f>G111</f>
        <v>6480</v>
      </c>
    </row>
    <row r="111" spans="1:7" s="81" customFormat="1">
      <c r="A111" s="136" t="s">
        <v>34</v>
      </c>
      <c r="B111" s="68">
        <v>992</v>
      </c>
      <c r="C111" s="11">
        <v>5</v>
      </c>
      <c r="D111" s="11">
        <v>3</v>
      </c>
      <c r="E111" s="20">
        <v>0</v>
      </c>
      <c r="F111" s="21">
        <v>0</v>
      </c>
      <c r="G111" s="302">
        <f>SUM(G112:G116)</f>
        <v>6480</v>
      </c>
    </row>
    <row r="112" spans="1:7" s="81" customFormat="1">
      <c r="A112" s="185" t="s">
        <v>251</v>
      </c>
      <c r="B112" s="69" t="s">
        <v>118</v>
      </c>
      <c r="C112" s="4">
        <v>5</v>
      </c>
      <c r="D112" s="4">
        <v>3</v>
      </c>
      <c r="E112" s="162" t="s">
        <v>254</v>
      </c>
      <c r="F112" s="143">
        <v>500</v>
      </c>
      <c r="G112" s="286">
        <f>пр2!F77</f>
        <v>0</v>
      </c>
    </row>
    <row r="113" spans="1:7" s="81" customFormat="1">
      <c r="A113" s="185" t="s">
        <v>259</v>
      </c>
      <c r="B113" s="69" t="s">
        <v>118</v>
      </c>
      <c r="C113" s="4">
        <v>5</v>
      </c>
      <c r="D113" s="4">
        <v>3</v>
      </c>
      <c r="E113" s="162" t="s">
        <v>155</v>
      </c>
      <c r="F113" s="143">
        <v>500</v>
      </c>
      <c r="G113" s="286">
        <f>пр2!F78</f>
        <v>6480</v>
      </c>
    </row>
    <row r="114" spans="1:7" s="81" customFormat="1">
      <c r="A114" s="185" t="s">
        <v>252</v>
      </c>
      <c r="B114" s="69" t="s">
        <v>118</v>
      </c>
      <c r="C114" s="4">
        <v>5</v>
      </c>
      <c r="D114" s="4">
        <v>3</v>
      </c>
      <c r="E114" s="162" t="s">
        <v>255</v>
      </c>
      <c r="F114" s="143">
        <v>500</v>
      </c>
      <c r="G114" s="286">
        <f>пр2!F79</f>
        <v>0</v>
      </c>
    </row>
    <row r="115" spans="1:7" s="81" customFormat="1">
      <c r="A115" s="185" t="s">
        <v>253</v>
      </c>
      <c r="B115" s="69" t="s">
        <v>118</v>
      </c>
      <c r="C115" s="4">
        <v>5</v>
      </c>
      <c r="D115" s="4">
        <v>3</v>
      </c>
      <c r="E115" s="162" t="s">
        <v>256</v>
      </c>
      <c r="F115" s="143">
        <v>500</v>
      </c>
      <c r="G115" s="286">
        <f>пр2!F80</f>
        <v>0</v>
      </c>
    </row>
    <row r="116" spans="1:7" s="81" customFormat="1" ht="24.6">
      <c r="A116" s="135" t="s">
        <v>242</v>
      </c>
      <c r="B116" s="69">
        <v>992</v>
      </c>
      <c r="C116" s="4">
        <v>5</v>
      </c>
      <c r="D116" s="4">
        <v>3</v>
      </c>
      <c r="E116" s="52" t="s">
        <v>243</v>
      </c>
      <c r="F116" s="6">
        <v>500</v>
      </c>
      <c r="G116" s="286"/>
    </row>
    <row r="117" spans="1:7" s="81" customFormat="1">
      <c r="A117" s="351" t="s">
        <v>98</v>
      </c>
      <c r="B117" s="68" t="s">
        <v>118</v>
      </c>
      <c r="C117" s="220">
        <v>11</v>
      </c>
      <c r="D117" s="220">
        <v>1</v>
      </c>
      <c r="E117" s="232" t="s">
        <v>163</v>
      </c>
      <c r="F117" s="21">
        <v>0</v>
      </c>
      <c r="G117" s="287">
        <f>G118</f>
        <v>0</v>
      </c>
    </row>
    <row r="118" spans="1:7" s="81" customFormat="1" ht="24.6" thickBot="1">
      <c r="A118" s="352" t="s">
        <v>99</v>
      </c>
      <c r="B118" s="69" t="s">
        <v>118</v>
      </c>
      <c r="C118" s="51">
        <v>11</v>
      </c>
      <c r="D118" s="51">
        <v>1</v>
      </c>
      <c r="E118" s="61" t="s">
        <v>163</v>
      </c>
      <c r="F118" s="53">
        <v>500</v>
      </c>
      <c r="G118" s="348">
        <f>пр2!F194</f>
        <v>0</v>
      </c>
    </row>
    <row r="119" spans="1:7" s="81" customFormat="1" ht="15" thickBot="1">
      <c r="A119" s="29" t="s">
        <v>72</v>
      </c>
      <c r="B119" s="68" t="s">
        <v>118</v>
      </c>
      <c r="C119" s="1">
        <v>14</v>
      </c>
      <c r="D119" s="1">
        <v>0</v>
      </c>
      <c r="E119" s="42" t="s">
        <v>146</v>
      </c>
      <c r="F119" s="3">
        <v>0</v>
      </c>
      <c r="G119" s="284">
        <f>G120</f>
        <v>41391.800000000003</v>
      </c>
    </row>
    <row r="120" spans="1:7" ht="24.6" thickBot="1">
      <c r="A120" s="39" t="s">
        <v>105</v>
      </c>
      <c r="B120" s="69" t="s">
        <v>118</v>
      </c>
      <c r="C120" s="23">
        <v>14</v>
      </c>
      <c r="D120" s="54">
        <v>1</v>
      </c>
      <c r="E120" s="42" t="s">
        <v>146</v>
      </c>
      <c r="F120" s="55">
        <v>0</v>
      </c>
      <c r="G120" s="287">
        <f>G121</f>
        <v>41391.800000000003</v>
      </c>
    </row>
    <row r="121" spans="1:7" ht="24.6" thickBot="1">
      <c r="A121" s="333" t="s">
        <v>73</v>
      </c>
      <c r="B121" s="353" t="s">
        <v>118</v>
      </c>
      <c r="C121" s="322">
        <v>14</v>
      </c>
      <c r="D121" s="323">
        <v>1</v>
      </c>
      <c r="E121" s="354">
        <v>2610160010</v>
      </c>
      <c r="F121" s="325">
        <v>500</v>
      </c>
      <c r="G121" s="314">
        <f>пр2!F205</f>
        <v>41391.800000000003</v>
      </c>
    </row>
    <row r="122" spans="1:7" s="81" customFormat="1" ht="24">
      <c r="A122" s="39" t="s">
        <v>108</v>
      </c>
      <c r="B122" s="268" t="s">
        <v>118</v>
      </c>
      <c r="C122" s="269">
        <v>14</v>
      </c>
      <c r="D122" s="269">
        <v>3</v>
      </c>
      <c r="E122" s="270"/>
      <c r="F122" s="271"/>
      <c r="G122" s="272">
        <f>G123</f>
        <v>0</v>
      </c>
    </row>
    <row r="123" spans="1:7" s="81" customFormat="1" ht="15" thickBot="1">
      <c r="A123" s="36" t="s">
        <v>109</v>
      </c>
      <c r="B123" s="199" t="s">
        <v>118</v>
      </c>
      <c r="C123" s="166">
        <v>14</v>
      </c>
      <c r="D123" s="167">
        <v>3</v>
      </c>
      <c r="E123" s="198"/>
      <c r="F123" s="169"/>
      <c r="G123" s="137">
        <f>пр2!F210</f>
        <v>0</v>
      </c>
    </row>
    <row r="124" spans="1:7" ht="15" thickBot="1">
      <c r="A124" s="75" t="s">
        <v>82</v>
      </c>
      <c r="B124" s="76" t="s">
        <v>83</v>
      </c>
      <c r="C124" s="59"/>
      <c r="D124" s="59"/>
      <c r="E124" s="42" t="s">
        <v>146</v>
      </c>
      <c r="F124" s="59"/>
      <c r="G124" s="73">
        <f>G125</f>
        <v>0</v>
      </c>
    </row>
    <row r="125" spans="1:7" ht="15" thickBot="1">
      <c r="A125" s="29" t="s">
        <v>38</v>
      </c>
      <c r="B125" s="11" t="s">
        <v>83</v>
      </c>
      <c r="C125" s="1">
        <v>7</v>
      </c>
      <c r="D125" s="1">
        <v>0</v>
      </c>
      <c r="E125" s="42" t="s">
        <v>146</v>
      </c>
      <c r="F125" s="3">
        <v>0</v>
      </c>
      <c r="G125" s="86">
        <f>G126+G128+G131</f>
        <v>0</v>
      </c>
    </row>
    <row r="126" spans="1:7" ht="15" thickBot="1">
      <c r="A126" s="34" t="s">
        <v>39</v>
      </c>
      <c r="B126" s="11" t="s">
        <v>83</v>
      </c>
      <c r="C126" s="19">
        <v>7</v>
      </c>
      <c r="D126" s="19">
        <v>1</v>
      </c>
      <c r="E126" s="42" t="s">
        <v>146</v>
      </c>
      <c r="F126" s="21">
        <v>0</v>
      </c>
      <c r="G126" s="89">
        <f>G127</f>
        <v>0</v>
      </c>
    </row>
    <row r="127" spans="1:7" ht="15" thickBot="1">
      <c r="A127" s="30" t="s">
        <v>40</v>
      </c>
      <c r="B127" s="4" t="s">
        <v>83</v>
      </c>
      <c r="C127" s="4">
        <v>7</v>
      </c>
      <c r="D127" s="4">
        <v>1</v>
      </c>
      <c r="E127" s="5" t="s">
        <v>156</v>
      </c>
      <c r="F127" s="6">
        <v>200</v>
      </c>
      <c r="G127" s="87">
        <v>0</v>
      </c>
    </row>
    <row r="128" spans="1:7" ht="15" thickBot="1">
      <c r="A128" s="32" t="s">
        <v>41</v>
      </c>
      <c r="B128" s="11" t="s">
        <v>83</v>
      </c>
      <c r="C128" s="11">
        <v>7</v>
      </c>
      <c r="D128" s="11">
        <v>2</v>
      </c>
      <c r="E128" s="42" t="s">
        <v>146</v>
      </c>
      <c r="F128" s="12">
        <v>0</v>
      </c>
      <c r="G128" s="90">
        <f>SUM(G129:G130)</f>
        <v>0</v>
      </c>
    </row>
    <row r="129" spans="1:7">
      <c r="A129" s="30" t="s">
        <v>42</v>
      </c>
      <c r="B129" s="4" t="s">
        <v>83</v>
      </c>
      <c r="C129" s="4">
        <v>7</v>
      </c>
      <c r="D129" s="4">
        <v>2</v>
      </c>
      <c r="E129" s="5" t="s">
        <v>157</v>
      </c>
      <c r="F129" s="6">
        <v>200</v>
      </c>
      <c r="G129" s="87">
        <v>0</v>
      </c>
    </row>
    <row r="130" spans="1:7" ht="24.6" thickBot="1">
      <c r="A130" s="36" t="s">
        <v>45</v>
      </c>
      <c r="B130" s="4" t="s">
        <v>83</v>
      </c>
      <c r="C130" s="4">
        <v>7</v>
      </c>
      <c r="D130" s="4">
        <v>2</v>
      </c>
      <c r="E130" s="5">
        <v>1920202590</v>
      </c>
      <c r="F130" s="6">
        <v>200</v>
      </c>
      <c r="G130" s="87">
        <v>0</v>
      </c>
    </row>
    <row r="131" spans="1:7" ht="15" thickBot="1">
      <c r="A131" s="32" t="s">
        <v>48</v>
      </c>
      <c r="B131" s="4" t="s">
        <v>83</v>
      </c>
      <c r="C131" s="11">
        <v>7</v>
      </c>
      <c r="D131" s="11">
        <v>9</v>
      </c>
      <c r="E131" s="42" t="s">
        <v>146</v>
      </c>
      <c r="F131" s="12">
        <v>0</v>
      </c>
      <c r="G131" s="90">
        <f>G132+G133</f>
        <v>0</v>
      </c>
    </row>
    <row r="132" spans="1:7" ht="24.6" thickBot="1">
      <c r="A132" s="260" t="s">
        <v>49</v>
      </c>
      <c r="B132" s="13" t="s">
        <v>83</v>
      </c>
      <c r="C132" s="13">
        <v>7</v>
      </c>
      <c r="D132" s="13">
        <v>9</v>
      </c>
      <c r="E132" s="14" t="s">
        <v>174</v>
      </c>
      <c r="F132" s="15">
        <v>100</v>
      </c>
      <c r="G132" s="204">
        <f>пр2!G139</f>
        <v>0</v>
      </c>
    </row>
    <row r="133" spans="1:7" s="81" customFormat="1" ht="24.6" thickBot="1">
      <c r="A133" s="355" t="s">
        <v>49</v>
      </c>
      <c r="B133" s="297" t="s">
        <v>132</v>
      </c>
      <c r="C133" s="297">
        <v>7</v>
      </c>
      <c r="D133" s="297">
        <v>9</v>
      </c>
      <c r="E133" s="298" t="s">
        <v>174</v>
      </c>
      <c r="F133" s="299">
        <v>200</v>
      </c>
      <c r="G133" s="300"/>
    </row>
    <row r="134" spans="1:7" ht="15" thickBot="1">
      <c r="A134" s="344" t="s">
        <v>84</v>
      </c>
      <c r="B134" s="76" t="s">
        <v>85</v>
      </c>
      <c r="C134" s="59"/>
      <c r="D134" s="59"/>
      <c r="E134" s="42" t="s">
        <v>146</v>
      </c>
      <c r="F134" s="59"/>
      <c r="G134" s="356">
        <f>G135+G175</f>
        <v>311561.96799999999</v>
      </c>
    </row>
    <row r="135" spans="1:7" ht="15" thickBot="1">
      <c r="A135" s="29" t="s">
        <v>38</v>
      </c>
      <c r="B135" s="11" t="s">
        <v>85</v>
      </c>
      <c r="C135" s="1">
        <v>7</v>
      </c>
      <c r="D135" s="1">
        <v>0</v>
      </c>
      <c r="E135" s="42" t="s">
        <v>146</v>
      </c>
      <c r="F135" s="3">
        <v>0</v>
      </c>
      <c r="G135" s="284">
        <f>G136+G144+G168</f>
        <v>303036.86800000002</v>
      </c>
    </row>
    <row r="136" spans="1:7" ht="15" thickBot="1">
      <c r="A136" s="34" t="s">
        <v>39</v>
      </c>
      <c r="B136" s="4" t="s">
        <v>85</v>
      </c>
      <c r="C136" s="19">
        <v>7</v>
      </c>
      <c r="D136" s="19">
        <v>1</v>
      </c>
      <c r="E136" s="42" t="s">
        <v>146</v>
      </c>
      <c r="F136" s="21">
        <v>0</v>
      </c>
      <c r="G136" s="287">
        <f>SUM(G137:G143)</f>
        <v>91171.8</v>
      </c>
    </row>
    <row r="137" spans="1:7" s="81" customFormat="1" ht="15" thickBot="1">
      <c r="A137" s="30" t="s">
        <v>147</v>
      </c>
      <c r="B137" s="4" t="s">
        <v>85</v>
      </c>
      <c r="C137" s="142">
        <v>7</v>
      </c>
      <c r="D137" s="142">
        <v>1</v>
      </c>
      <c r="E137" s="144" t="s">
        <v>148</v>
      </c>
      <c r="F137" s="143">
        <v>100</v>
      </c>
      <c r="G137" s="357">
        <f>пр2!H87</f>
        <v>59300.4</v>
      </c>
    </row>
    <row r="138" spans="1:7" s="81" customFormat="1">
      <c r="A138" s="30" t="s">
        <v>147</v>
      </c>
      <c r="B138" s="4" t="s">
        <v>85</v>
      </c>
      <c r="C138" s="142">
        <v>7</v>
      </c>
      <c r="D138" s="142">
        <v>1</v>
      </c>
      <c r="E138" s="144" t="s">
        <v>148</v>
      </c>
      <c r="F138" s="143">
        <v>200</v>
      </c>
      <c r="G138" s="357">
        <f>пр2!H88</f>
        <v>132.6</v>
      </c>
    </row>
    <row r="139" spans="1:7">
      <c r="A139" s="30" t="s">
        <v>40</v>
      </c>
      <c r="B139" s="11" t="s">
        <v>85</v>
      </c>
      <c r="C139" s="4">
        <v>7</v>
      </c>
      <c r="D139" s="4">
        <v>1</v>
      </c>
      <c r="E139" s="5" t="s">
        <v>156</v>
      </c>
      <c r="F139" s="6">
        <v>100</v>
      </c>
      <c r="G139" s="286">
        <f>пр2!F89</f>
        <v>17733.7</v>
      </c>
    </row>
    <row r="140" spans="1:7" s="81" customFormat="1" ht="15" thickBot="1">
      <c r="A140" s="288" t="s">
        <v>40</v>
      </c>
      <c r="B140" s="358" t="s">
        <v>85</v>
      </c>
      <c r="C140" s="183">
        <v>7</v>
      </c>
      <c r="D140" s="183">
        <v>1</v>
      </c>
      <c r="E140" s="184" t="s">
        <v>156</v>
      </c>
      <c r="F140" s="305">
        <v>200</v>
      </c>
      <c r="G140" s="314">
        <f>пр2!F90-пр3!G127</f>
        <v>13866.1</v>
      </c>
    </row>
    <row r="141" spans="1:7" s="81" customFormat="1" ht="15" hidden="1" thickBot="1">
      <c r="A141" s="135" t="s">
        <v>40</v>
      </c>
      <c r="B141" s="220" t="s">
        <v>85</v>
      </c>
      <c r="C141" s="51">
        <v>7</v>
      </c>
      <c r="D141" s="51">
        <v>1</v>
      </c>
      <c r="E141" s="52" t="s">
        <v>156</v>
      </c>
      <c r="F141" s="53">
        <v>400</v>
      </c>
      <c r="G141" s="134">
        <f>пр2!F91</f>
        <v>0</v>
      </c>
    </row>
    <row r="142" spans="1:7" s="81" customFormat="1" ht="15" thickBot="1">
      <c r="A142" s="359" t="s">
        <v>40</v>
      </c>
      <c r="B142" s="1" t="s">
        <v>85</v>
      </c>
      <c r="C142" s="308">
        <v>7</v>
      </c>
      <c r="D142" s="308">
        <v>1</v>
      </c>
      <c r="E142" s="309" t="s">
        <v>156</v>
      </c>
      <c r="F142" s="310">
        <v>800</v>
      </c>
      <c r="G142" s="360">
        <f>пр2!F92</f>
        <v>139</v>
      </c>
    </row>
    <row r="143" spans="1:7" s="81" customFormat="1" ht="15" hidden="1" thickBot="1">
      <c r="A143" s="160" t="s">
        <v>31</v>
      </c>
      <c r="B143" s="166" t="s">
        <v>85</v>
      </c>
      <c r="C143" s="51">
        <v>7</v>
      </c>
      <c r="D143" s="51">
        <v>1</v>
      </c>
      <c r="E143" s="52">
        <v>7950000</v>
      </c>
      <c r="F143" s="53">
        <v>200</v>
      </c>
      <c r="G143" s="134">
        <f>пр2!F93</f>
        <v>0</v>
      </c>
    </row>
    <row r="144" spans="1:7" ht="15" thickBot="1">
      <c r="A144" s="47" t="s">
        <v>41</v>
      </c>
      <c r="B144" s="297" t="s">
        <v>85</v>
      </c>
      <c r="C144" s="48">
        <v>7</v>
      </c>
      <c r="D144" s="48">
        <v>2</v>
      </c>
      <c r="E144" s="42" t="s">
        <v>146</v>
      </c>
      <c r="F144" s="49">
        <v>0</v>
      </c>
      <c r="G144" s="361">
        <f>SUM(G145:G167)</f>
        <v>205955.16799999998</v>
      </c>
    </row>
    <row r="145" spans="1:7" s="81" customFormat="1">
      <c r="A145" s="30" t="s">
        <v>42</v>
      </c>
      <c r="B145" s="4" t="s">
        <v>85</v>
      </c>
      <c r="C145" s="4">
        <v>7</v>
      </c>
      <c r="D145" s="4">
        <v>2</v>
      </c>
      <c r="E145" s="5" t="s">
        <v>157</v>
      </c>
      <c r="F145" s="143">
        <v>100</v>
      </c>
      <c r="G145" s="343">
        <f>пр2!G96</f>
        <v>3754.6</v>
      </c>
    </row>
    <row r="146" spans="1:7">
      <c r="A146" s="30" t="s">
        <v>42</v>
      </c>
      <c r="B146" s="4" t="s">
        <v>85</v>
      </c>
      <c r="C146" s="4">
        <v>7</v>
      </c>
      <c r="D146" s="4">
        <v>2</v>
      </c>
      <c r="E146" s="5" t="s">
        <v>157</v>
      </c>
      <c r="F146" s="6">
        <v>200</v>
      </c>
      <c r="G146" s="286">
        <f>пр2!F97-G129</f>
        <v>8819.98</v>
      </c>
    </row>
    <row r="147" spans="1:7" s="81" customFormat="1">
      <c r="A147" s="30" t="s">
        <v>42</v>
      </c>
      <c r="B147" s="4" t="s">
        <v>85</v>
      </c>
      <c r="C147" s="4">
        <v>7</v>
      </c>
      <c r="D147" s="4">
        <v>2</v>
      </c>
      <c r="E147" s="5" t="s">
        <v>157</v>
      </c>
      <c r="F147" s="6">
        <v>400</v>
      </c>
      <c r="G147" s="286">
        <f>пр2!F98</f>
        <v>388</v>
      </c>
    </row>
    <row r="148" spans="1:7" s="81" customFormat="1">
      <c r="A148" s="30" t="s">
        <v>42</v>
      </c>
      <c r="B148" s="4" t="s">
        <v>85</v>
      </c>
      <c r="C148" s="4">
        <v>7</v>
      </c>
      <c r="D148" s="4">
        <v>2</v>
      </c>
      <c r="E148" s="5" t="s">
        <v>157</v>
      </c>
      <c r="F148" s="6">
        <v>800</v>
      </c>
      <c r="G148" s="286">
        <f>пр2!F99</f>
        <v>407</v>
      </c>
    </row>
    <row r="149" spans="1:7" s="81" customFormat="1" ht="24.6">
      <c r="A149" s="30" t="s">
        <v>45</v>
      </c>
      <c r="B149" s="4" t="s">
        <v>85</v>
      </c>
      <c r="C149" s="4">
        <v>7</v>
      </c>
      <c r="D149" s="4">
        <v>2</v>
      </c>
      <c r="E149" s="5">
        <v>1920202590</v>
      </c>
      <c r="F149" s="6">
        <v>200</v>
      </c>
      <c r="G149" s="286">
        <f>пр2!F103</f>
        <v>3357.5</v>
      </c>
    </row>
    <row r="150" spans="1:7" s="81" customFormat="1" ht="24.6">
      <c r="A150" s="30" t="s">
        <v>362</v>
      </c>
      <c r="B150" s="4" t="s">
        <v>85</v>
      </c>
      <c r="C150" s="4">
        <v>7</v>
      </c>
      <c r="D150" s="4">
        <v>2</v>
      </c>
      <c r="E150" s="5">
        <v>1920202590</v>
      </c>
      <c r="F150" s="6">
        <v>200</v>
      </c>
      <c r="G150" s="286">
        <f>пр2!F104</f>
        <v>280.85000000000002</v>
      </c>
    </row>
    <row r="151" spans="1:7" s="81" customFormat="1">
      <c r="A151" s="60" t="s">
        <v>354</v>
      </c>
      <c r="B151" s="4" t="s">
        <v>85</v>
      </c>
      <c r="C151" s="4">
        <v>7</v>
      </c>
      <c r="D151" s="4">
        <v>2</v>
      </c>
      <c r="E151" s="5" t="s">
        <v>355</v>
      </c>
      <c r="F151" s="6">
        <v>200</v>
      </c>
      <c r="G151" s="286">
        <f>пр2!H106</f>
        <v>2245.288</v>
      </c>
    </row>
    <row r="152" spans="1:7" s="81" customFormat="1">
      <c r="A152" s="60" t="s">
        <v>352</v>
      </c>
      <c r="B152" s="4" t="s">
        <v>85</v>
      </c>
      <c r="C152" s="4">
        <v>7</v>
      </c>
      <c r="D152" s="4">
        <v>2</v>
      </c>
      <c r="E152" s="5" t="s">
        <v>353</v>
      </c>
      <c r="F152" s="6">
        <v>100</v>
      </c>
      <c r="G152" s="286">
        <f>пр2!F105</f>
        <v>4065.1</v>
      </c>
    </row>
    <row r="153" spans="1:7" s="81" customFormat="1" ht="24.6">
      <c r="A153" s="30" t="s">
        <v>244</v>
      </c>
      <c r="B153" s="4" t="s">
        <v>85</v>
      </c>
      <c r="C153" s="4">
        <v>7</v>
      </c>
      <c r="D153" s="4">
        <v>2</v>
      </c>
      <c r="E153" s="5">
        <v>9990041120</v>
      </c>
      <c r="F153" s="6">
        <v>200</v>
      </c>
      <c r="G153" s="286">
        <f>пр2!F100-пр3!G61</f>
        <v>4199.8999999999996</v>
      </c>
    </row>
    <row r="154" spans="1:7" ht="24">
      <c r="A154" s="36" t="s">
        <v>43</v>
      </c>
      <c r="B154" s="4" t="s">
        <v>85</v>
      </c>
      <c r="C154" s="4">
        <v>7</v>
      </c>
      <c r="D154" s="4">
        <v>2</v>
      </c>
      <c r="E154" s="5">
        <v>1920206590</v>
      </c>
      <c r="F154" s="6">
        <v>100</v>
      </c>
      <c r="G154" s="286">
        <f>пр2!F101</f>
        <v>156883.9</v>
      </c>
    </row>
    <row r="155" spans="1:7" s="81" customFormat="1" ht="24">
      <c r="A155" s="36" t="s">
        <v>43</v>
      </c>
      <c r="B155" s="4" t="s">
        <v>83</v>
      </c>
      <c r="C155" s="4">
        <v>7</v>
      </c>
      <c r="D155" s="4">
        <v>2</v>
      </c>
      <c r="E155" s="5">
        <v>1920206590</v>
      </c>
      <c r="F155" s="6">
        <v>200</v>
      </c>
      <c r="G155" s="286">
        <f>пр2!F102</f>
        <v>0</v>
      </c>
    </row>
    <row r="156" spans="1:7" s="81" customFormat="1">
      <c r="A156" s="185" t="s">
        <v>165</v>
      </c>
      <c r="B156" s="4" t="s">
        <v>85</v>
      </c>
      <c r="C156" s="4">
        <v>7</v>
      </c>
      <c r="D156" s="4">
        <v>3</v>
      </c>
      <c r="E156" s="5" t="s">
        <v>168</v>
      </c>
      <c r="F156" s="6">
        <v>100</v>
      </c>
      <c r="G156" s="286">
        <f>пр2!F111</f>
        <v>9451</v>
      </c>
    </row>
    <row r="157" spans="1:7" s="81" customFormat="1" ht="15" thickBot="1">
      <c r="A157" s="187" t="s">
        <v>165</v>
      </c>
      <c r="B157" s="183" t="s">
        <v>83</v>
      </c>
      <c r="C157" s="183">
        <v>7</v>
      </c>
      <c r="D157" s="183">
        <v>3</v>
      </c>
      <c r="E157" s="184" t="s">
        <v>168</v>
      </c>
      <c r="F157" s="305">
        <v>200</v>
      </c>
      <c r="G157" s="314">
        <f>пр2!F112</f>
        <v>738</v>
      </c>
    </row>
    <row r="158" spans="1:7" s="81" customFormat="1" ht="15" thickBot="1">
      <c r="A158" s="273" t="s">
        <v>165</v>
      </c>
      <c r="B158" s="51" t="s">
        <v>83</v>
      </c>
      <c r="C158" s="51">
        <v>7</v>
      </c>
      <c r="D158" s="51">
        <v>3</v>
      </c>
      <c r="E158" s="52" t="s">
        <v>168</v>
      </c>
      <c r="F158" s="53">
        <v>600</v>
      </c>
      <c r="G158" s="134">
        <f>пр2!F113</f>
        <v>5809.31</v>
      </c>
    </row>
    <row r="159" spans="1:7" s="81" customFormat="1">
      <c r="A159" s="362" t="s">
        <v>165</v>
      </c>
      <c r="B159" s="297" t="s">
        <v>132</v>
      </c>
      <c r="C159" s="297">
        <v>7</v>
      </c>
      <c r="D159" s="297">
        <v>3</v>
      </c>
      <c r="E159" s="298" t="s">
        <v>168</v>
      </c>
      <c r="F159" s="299">
        <v>800</v>
      </c>
      <c r="G159" s="300">
        <f>пр2!F114</f>
        <v>18.399999999999999</v>
      </c>
    </row>
    <row r="160" spans="1:7" s="81" customFormat="1">
      <c r="A160" s="185" t="s">
        <v>166</v>
      </c>
      <c r="B160" s="11" t="s">
        <v>85</v>
      </c>
      <c r="C160" s="4">
        <v>7</v>
      </c>
      <c r="D160" s="4">
        <v>3</v>
      </c>
      <c r="E160" s="5" t="s">
        <v>169</v>
      </c>
      <c r="F160" s="6">
        <v>100</v>
      </c>
      <c r="G160" s="286"/>
    </row>
    <row r="161" spans="1:7" s="81" customFormat="1">
      <c r="A161" s="185" t="s">
        <v>166</v>
      </c>
      <c r="B161" s="11" t="s">
        <v>83</v>
      </c>
      <c r="C161" s="4">
        <v>7</v>
      </c>
      <c r="D161" s="4">
        <v>3</v>
      </c>
      <c r="E161" s="5" t="s">
        <v>169</v>
      </c>
      <c r="F161" s="6">
        <v>200</v>
      </c>
      <c r="G161" s="286"/>
    </row>
    <row r="162" spans="1:7" s="81" customFormat="1">
      <c r="A162" s="185" t="s">
        <v>166</v>
      </c>
      <c r="B162" s="11" t="s">
        <v>132</v>
      </c>
      <c r="C162" s="4">
        <v>7</v>
      </c>
      <c r="D162" s="4">
        <v>3</v>
      </c>
      <c r="E162" s="5" t="s">
        <v>169</v>
      </c>
      <c r="F162" s="6">
        <v>800</v>
      </c>
      <c r="G162" s="286"/>
    </row>
    <row r="163" spans="1:7">
      <c r="A163" s="185" t="s">
        <v>167</v>
      </c>
      <c r="B163" s="11" t="s">
        <v>85</v>
      </c>
      <c r="C163" s="4">
        <v>7</v>
      </c>
      <c r="D163" s="4">
        <v>3</v>
      </c>
      <c r="E163" s="5" t="s">
        <v>170</v>
      </c>
      <c r="F163" s="6">
        <v>100</v>
      </c>
      <c r="G163" s="286">
        <f>пр2!F121</f>
        <v>3069.5</v>
      </c>
    </row>
    <row r="164" spans="1:7" s="81" customFormat="1" ht="15" thickBot="1">
      <c r="A164" s="187" t="s">
        <v>167</v>
      </c>
      <c r="B164" s="358" t="s">
        <v>83</v>
      </c>
      <c r="C164" s="183">
        <v>7</v>
      </c>
      <c r="D164" s="183">
        <v>3</v>
      </c>
      <c r="E164" s="184" t="s">
        <v>170</v>
      </c>
      <c r="F164" s="305">
        <v>200</v>
      </c>
      <c r="G164" s="314">
        <f>пр2!F122</f>
        <v>295.39999999999998</v>
      </c>
    </row>
    <row r="165" spans="1:7" s="81" customFormat="1" ht="15" thickBot="1">
      <c r="A165" s="273" t="s">
        <v>167</v>
      </c>
      <c r="B165" s="220" t="s">
        <v>83</v>
      </c>
      <c r="C165" s="51">
        <v>7</v>
      </c>
      <c r="D165" s="51">
        <v>3</v>
      </c>
      <c r="E165" s="52" t="s">
        <v>170</v>
      </c>
      <c r="F165" s="53">
        <v>600</v>
      </c>
      <c r="G165" s="134">
        <f>пр2!F123</f>
        <v>2165.44</v>
      </c>
    </row>
    <row r="166" spans="1:7" s="81" customFormat="1" ht="15" thickBot="1">
      <c r="A166" s="306" t="s">
        <v>167</v>
      </c>
      <c r="B166" s="1" t="s">
        <v>132</v>
      </c>
      <c r="C166" s="308">
        <v>7</v>
      </c>
      <c r="D166" s="308">
        <v>3</v>
      </c>
      <c r="E166" s="309" t="s">
        <v>170</v>
      </c>
      <c r="F166" s="310">
        <v>800</v>
      </c>
      <c r="G166" s="360">
        <f>пр2!F124</f>
        <v>6</v>
      </c>
    </row>
    <row r="167" spans="1:7" s="81" customFormat="1" ht="15" hidden="1" thickBot="1">
      <c r="A167" s="160" t="s">
        <v>31</v>
      </c>
      <c r="B167" s="166" t="s">
        <v>85</v>
      </c>
      <c r="C167" s="51">
        <v>7</v>
      </c>
      <c r="D167" s="51">
        <v>3</v>
      </c>
      <c r="E167" s="52" t="s">
        <v>159</v>
      </c>
      <c r="F167" s="53">
        <v>200</v>
      </c>
      <c r="G167" s="134">
        <f>пр2!F126</f>
        <v>0</v>
      </c>
    </row>
    <row r="168" spans="1:7" ht="15" thickBot="1">
      <c r="A168" s="47" t="s">
        <v>48</v>
      </c>
      <c r="B168" s="297" t="s">
        <v>85</v>
      </c>
      <c r="C168" s="48">
        <v>7</v>
      </c>
      <c r="D168" s="48">
        <v>9</v>
      </c>
      <c r="E168" s="42" t="s">
        <v>146</v>
      </c>
      <c r="F168" s="49">
        <v>0</v>
      </c>
      <c r="G168" s="361">
        <f>SUM(G169:G174)</f>
        <v>5909.9</v>
      </c>
    </row>
    <row r="169" spans="1:7">
      <c r="A169" s="30" t="s">
        <v>11</v>
      </c>
      <c r="B169" s="4" t="s">
        <v>85</v>
      </c>
      <c r="C169" s="4">
        <v>7</v>
      </c>
      <c r="D169" s="4">
        <v>9</v>
      </c>
      <c r="E169" s="5" t="s">
        <v>151</v>
      </c>
      <c r="F169" s="6">
        <v>100</v>
      </c>
      <c r="G169" s="286">
        <f>пр2!F131</f>
        <v>1359.8</v>
      </c>
    </row>
    <row r="170" spans="1:7" s="81" customFormat="1">
      <c r="A170" s="30" t="s">
        <v>11</v>
      </c>
      <c r="B170" s="4" t="s">
        <v>83</v>
      </c>
      <c r="C170" s="4">
        <v>7</v>
      </c>
      <c r="D170" s="4">
        <v>9</v>
      </c>
      <c r="E170" s="5" t="s">
        <v>151</v>
      </c>
      <c r="F170" s="6">
        <v>200</v>
      </c>
      <c r="G170" s="286">
        <f>пр2!F132</f>
        <v>28.1</v>
      </c>
    </row>
    <row r="171" spans="1:7" s="81" customFormat="1">
      <c r="A171" s="38" t="s">
        <v>172</v>
      </c>
      <c r="B171" s="4" t="s">
        <v>85</v>
      </c>
      <c r="C171" s="4">
        <v>7</v>
      </c>
      <c r="D171" s="4">
        <v>9</v>
      </c>
      <c r="E171" s="5" t="s">
        <v>171</v>
      </c>
      <c r="F171" s="6">
        <v>100</v>
      </c>
      <c r="G171" s="286">
        <f>пр2!F136</f>
        <v>3333.2</v>
      </c>
    </row>
    <row r="172" spans="1:7" s="81" customFormat="1">
      <c r="A172" s="38" t="s">
        <v>172</v>
      </c>
      <c r="B172" s="4" t="s">
        <v>83</v>
      </c>
      <c r="C172" s="4">
        <v>7</v>
      </c>
      <c r="D172" s="4">
        <v>9</v>
      </c>
      <c r="E172" s="5" t="s">
        <v>171</v>
      </c>
      <c r="F172" s="6">
        <v>200</v>
      </c>
      <c r="G172" s="286">
        <f>пр2!F137</f>
        <v>868.8</v>
      </c>
    </row>
    <row r="173" spans="1:7" s="81" customFormat="1">
      <c r="A173" s="38" t="s">
        <v>172</v>
      </c>
      <c r="B173" s="4" t="s">
        <v>132</v>
      </c>
      <c r="C173" s="4">
        <v>7</v>
      </c>
      <c r="D173" s="4">
        <v>9</v>
      </c>
      <c r="E173" s="5" t="s">
        <v>171</v>
      </c>
      <c r="F173" s="6">
        <v>800</v>
      </c>
      <c r="G173" s="286">
        <f>пр2!F138</f>
        <v>20</v>
      </c>
    </row>
    <row r="174" spans="1:7">
      <c r="A174" s="37" t="s">
        <v>31</v>
      </c>
      <c r="B174" s="7" t="s">
        <v>85</v>
      </c>
      <c r="C174" s="13">
        <v>7</v>
      </c>
      <c r="D174" s="13">
        <v>9</v>
      </c>
      <c r="E174" s="5" t="s">
        <v>159</v>
      </c>
      <c r="F174" s="15">
        <v>200</v>
      </c>
      <c r="G174" s="286">
        <f>пр2!F142</f>
        <v>300</v>
      </c>
    </row>
    <row r="175" spans="1:7" ht="15" thickBot="1">
      <c r="A175" s="363" t="s">
        <v>69</v>
      </c>
      <c r="B175" s="364" t="s">
        <v>85</v>
      </c>
      <c r="C175" s="364">
        <v>10</v>
      </c>
      <c r="D175" s="364">
        <v>4</v>
      </c>
      <c r="E175" s="365">
        <v>0</v>
      </c>
      <c r="F175" s="366">
        <v>0</v>
      </c>
      <c r="G175" s="367">
        <f>G177+G178+G179</f>
        <v>8525.0999999999985</v>
      </c>
    </row>
    <row r="176" spans="1:7" ht="36.6" hidden="1" thickBot="1">
      <c r="A176" s="274" t="s">
        <v>70</v>
      </c>
      <c r="B176" s="166" t="s">
        <v>85</v>
      </c>
      <c r="C176" s="166">
        <v>10</v>
      </c>
      <c r="D176" s="166">
        <v>4</v>
      </c>
      <c r="E176" s="275">
        <v>5200000</v>
      </c>
      <c r="F176" s="224">
        <v>300</v>
      </c>
      <c r="G176" s="134">
        <v>0</v>
      </c>
    </row>
    <row r="177" spans="1:7" s="81" customFormat="1" ht="48">
      <c r="A177" s="368" t="s">
        <v>141</v>
      </c>
      <c r="B177" s="338" t="s">
        <v>85</v>
      </c>
      <c r="C177" s="338">
        <v>10</v>
      </c>
      <c r="D177" s="338">
        <v>4</v>
      </c>
      <c r="E177" s="369">
        <v>2230181540</v>
      </c>
      <c r="F177" s="370">
        <v>300</v>
      </c>
      <c r="G177" s="300">
        <f>пр2!H187</f>
        <v>913.9</v>
      </c>
    </row>
    <row r="178" spans="1:7">
      <c r="A178" s="371" t="s">
        <v>71</v>
      </c>
      <c r="B178" s="57" t="s">
        <v>85</v>
      </c>
      <c r="C178" s="57">
        <v>10</v>
      </c>
      <c r="D178" s="57">
        <v>4</v>
      </c>
      <c r="E178" s="77">
        <v>2230781520</v>
      </c>
      <c r="F178" s="78">
        <v>300</v>
      </c>
      <c r="G178" s="286">
        <f>пр2!F188</f>
        <v>7023.7</v>
      </c>
    </row>
    <row r="179" spans="1:7" s="81" customFormat="1">
      <c r="A179" s="371" t="s">
        <v>71</v>
      </c>
      <c r="B179" s="57" t="s">
        <v>85</v>
      </c>
      <c r="C179" s="57">
        <v>10</v>
      </c>
      <c r="D179" s="57">
        <v>4</v>
      </c>
      <c r="E179" s="77">
        <v>2230781520</v>
      </c>
      <c r="F179" s="78">
        <v>300</v>
      </c>
      <c r="G179" s="286">
        <f>пр2!F189</f>
        <v>587.5</v>
      </c>
    </row>
    <row r="180" spans="1:7" ht="15" thickBot="1">
      <c r="A180" s="344" t="s">
        <v>86</v>
      </c>
      <c r="B180" s="76" t="s">
        <v>87</v>
      </c>
      <c r="C180" s="59"/>
      <c r="D180" s="59"/>
      <c r="E180" s="59"/>
      <c r="F180" s="59"/>
      <c r="G180" s="356">
        <f>G181+G188+G200</f>
        <v>24508.821</v>
      </c>
    </row>
    <row r="181" spans="1:7" ht="15" thickBot="1">
      <c r="A181" s="29" t="s">
        <v>38</v>
      </c>
      <c r="B181" s="11" t="s">
        <v>87</v>
      </c>
      <c r="C181" s="1">
        <v>7</v>
      </c>
      <c r="D181" s="1">
        <v>0</v>
      </c>
      <c r="E181" s="42" t="s">
        <v>146</v>
      </c>
      <c r="F181" s="3">
        <v>0</v>
      </c>
      <c r="G181" s="284">
        <f>G182</f>
        <v>5434.8209999999999</v>
      </c>
    </row>
    <row r="182" spans="1:7" ht="15" thickBot="1">
      <c r="A182" s="32" t="s">
        <v>41</v>
      </c>
      <c r="B182" s="11" t="s">
        <v>87</v>
      </c>
      <c r="C182" s="11">
        <v>7</v>
      </c>
      <c r="D182" s="11">
        <v>0</v>
      </c>
      <c r="E182" s="42" t="s">
        <v>146</v>
      </c>
      <c r="F182" s="12">
        <v>0</v>
      </c>
      <c r="G182" s="191">
        <f>SUBTOTAL(9,G183:G186)</f>
        <v>5434.8209999999999</v>
      </c>
    </row>
    <row r="183" spans="1:7">
      <c r="A183" s="372" t="s">
        <v>166</v>
      </c>
      <c r="B183" s="4" t="s">
        <v>87</v>
      </c>
      <c r="C183" s="4">
        <v>7</v>
      </c>
      <c r="D183" s="4">
        <v>2</v>
      </c>
      <c r="E183" s="5" t="s">
        <v>169</v>
      </c>
      <c r="F183" s="6">
        <v>100</v>
      </c>
      <c r="G183" s="286">
        <f>пр2!G115</f>
        <v>2053.511</v>
      </c>
    </row>
    <row r="184" spans="1:7" s="81" customFormat="1">
      <c r="A184" s="372" t="s">
        <v>166</v>
      </c>
      <c r="B184" s="4" t="s">
        <v>87</v>
      </c>
      <c r="C184" s="4">
        <v>7</v>
      </c>
      <c r="D184" s="4">
        <v>2</v>
      </c>
      <c r="E184" s="5" t="s">
        <v>169</v>
      </c>
      <c r="F184" s="6">
        <v>200</v>
      </c>
      <c r="G184" s="286">
        <f>пр2!G116</f>
        <v>30</v>
      </c>
    </row>
    <row r="185" spans="1:7" s="81" customFormat="1">
      <c r="A185" s="372" t="s">
        <v>166</v>
      </c>
      <c r="B185" s="4" t="s">
        <v>87</v>
      </c>
      <c r="C185" s="4">
        <v>7</v>
      </c>
      <c r="D185" s="4">
        <v>3</v>
      </c>
      <c r="E185" s="5" t="s">
        <v>169</v>
      </c>
      <c r="F185" s="6">
        <v>100</v>
      </c>
      <c r="G185" s="286">
        <f>пр2!G117</f>
        <v>3303.97</v>
      </c>
    </row>
    <row r="186" spans="1:7" s="81" customFormat="1" ht="15" thickBot="1">
      <c r="A186" s="373" t="s">
        <v>166</v>
      </c>
      <c r="B186" s="4" t="s">
        <v>87</v>
      </c>
      <c r="C186" s="4">
        <v>7</v>
      </c>
      <c r="D186" s="4">
        <v>3</v>
      </c>
      <c r="E186" s="5" t="s">
        <v>169</v>
      </c>
      <c r="F186" s="6">
        <v>200</v>
      </c>
      <c r="G186" s="286">
        <f>пр2!G118</f>
        <v>47.34</v>
      </c>
    </row>
    <row r="187" spans="1:7" s="81" customFormat="1" ht="15" hidden="1" thickBot="1">
      <c r="A187" s="52" t="s">
        <v>166</v>
      </c>
      <c r="B187" s="51" t="s">
        <v>87</v>
      </c>
      <c r="C187" s="51">
        <v>7</v>
      </c>
      <c r="D187" s="51">
        <v>2</v>
      </c>
      <c r="E187" s="52" t="s">
        <v>169</v>
      </c>
      <c r="F187" s="53">
        <v>300</v>
      </c>
      <c r="G187" s="134">
        <f>пр2!F119</f>
        <v>0</v>
      </c>
    </row>
    <row r="188" spans="1:7" s="81" customFormat="1" ht="15" thickBot="1">
      <c r="A188" s="29" t="s">
        <v>92</v>
      </c>
      <c r="B188" s="1" t="s">
        <v>87</v>
      </c>
      <c r="C188" s="1">
        <v>8</v>
      </c>
      <c r="D188" s="1">
        <v>0</v>
      </c>
      <c r="E188" s="42" t="s">
        <v>146</v>
      </c>
      <c r="F188" s="3">
        <v>0</v>
      </c>
      <c r="G188" s="284">
        <f>G189+G197</f>
        <v>6777</v>
      </c>
    </row>
    <row r="189" spans="1:7" s="81" customFormat="1" ht="15" thickBot="1">
      <c r="A189" s="34" t="s">
        <v>50</v>
      </c>
      <c r="B189" s="4" t="s">
        <v>87</v>
      </c>
      <c r="C189" s="19">
        <v>8</v>
      </c>
      <c r="D189" s="19">
        <v>1</v>
      </c>
      <c r="E189" s="42" t="s">
        <v>146</v>
      </c>
      <c r="F189" s="21">
        <v>0</v>
      </c>
      <c r="G189" s="302">
        <f>G191+G195+G192+G193+G194+G196+G190</f>
        <v>6243</v>
      </c>
    </row>
    <row r="190" spans="1:7" s="81" customFormat="1" ht="15" thickBot="1">
      <c r="A190" s="34" t="s">
        <v>248</v>
      </c>
      <c r="B190" s="4" t="s">
        <v>133</v>
      </c>
      <c r="C190" s="19">
        <v>8</v>
      </c>
      <c r="D190" s="19">
        <v>1</v>
      </c>
      <c r="E190" s="42" t="s">
        <v>246</v>
      </c>
      <c r="F190" s="21">
        <v>200</v>
      </c>
      <c r="G190" s="302">
        <f>пр2!F145</f>
        <v>0</v>
      </c>
    </row>
    <row r="191" spans="1:7" s="81" customFormat="1">
      <c r="A191" s="30" t="s">
        <v>51</v>
      </c>
      <c r="B191" s="4" t="s">
        <v>87</v>
      </c>
      <c r="C191" s="4">
        <v>8</v>
      </c>
      <c r="D191" s="4">
        <v>1</v>
      </c>
      <c r="E191" s="5" t="s">
        <v>160</v>
      </c>
      <c r="F191" s="6">
        <v>100</v>
      </c>
      <c r="G191" s="286">
        <f>пр2!F146</f>
        <v>2776</v>
      </c>
    </row>
    <row r="192" spans="1:7" s="81" customFormat="1" ht="15" thickBot="1">
      <c r="A192" s="288" t="s">
        <v>51</v>
      </c>
      <c r="B192" s="183" t="s">
        <v>87</v>
      </c>
      <c r="C192" s="183">
        <v>8</v>
      </c>
      <c r="D192" s="183">
        <v>1</v>
      </c>
      <c r="E192" s="184" t="s">
        <v>160</v>
      </c>
      <c r="F192" s="305">
        <v>200</v>
      </c>
      <c r="G192" s="314">
        <f>пр2!F147</f>
        <v>0</v>
      </c>
    </row>
    <row r="193" spans="1:7" s="81" customFormat="1" ht="15" hidden="1" thickBot="1">
      <c r="A193" s="135" t="s">
        <v>51</v>
      </c>
      <c r="B193" s="51" t="s">
        <v>87</v>
      </c>
      <c r="C193" s="51">
        <v>8</v>
      </c>
      <c r="D193" s="51">
        <v>1</v>
      </c>
      <c r="E193" s="52" t="s">
        <v>160</v>
      </c>
      <c r="F193" s="53">
        <v>800</v>
      </c>
      <c r="G193" s="134">
        <f>пр2!F148</f>
        <v>0</v>
      </c>
    </row>
    <row r="194" spans="1:7" s="81" customFormat="1">
      <c r="A194" s="374" t="s">
        <v>52</v>
      </c>
      <c r="B194" s="297" t="s">
        <v>87</v>
      </c>
      <c r="C194" s="297">
        <v>8</v>
      </c>
      <c r="D194" s="297">
        <v>1</v>
      </c>
      <c r="E194" s="298" t="s">
        <v>161</v>
      </c>
      <c r="F194" s="299">
        <v>100</v>
      </c>
      <c r="G194" s="300">
        <f>пр2!G149</f>
        <v>3437</v>
      </c>
    </row>
    <row r="195" spans="1:7" s="81" customFormat="1">
      <c r="A195" s="30" t="s">
        <v>52</v>
      </c>
      <c r="B195" s="4" t="s">
        <v>87</v>
      </c>
      <c r="C195" s="4">
        <v>8</v>
      </c>
      <c r="D195" s="4">
        <v>1</v>
      </c>
      <c r="E195" s="5" t="s">
        <v>161</v>
      </c>
      <c r="F195" s="6">
        <v>200</v>
      </c>
      <c r="G195" s="286">
        <f>пр2!F150</f>
        <v>30</v>
      </c>
    </row>
    <row r="196" spans="1:7" s="81" customFormat="1" ht="15" thickBot="1">
      <c r="A196" s="36" t="s">
        <v>140</v>
      </c>
      <c r="B196" s="4" t="s">
        <v>87</v>
      </c>
      <c r="C196" s="4">
        <v>8</v>
      </c>
      <c r="D196" s="4">
        <v>1</v>
      </c>
      <c r="E196" s="5">
        <v>9994500000</v>
      </c>
      <c r="F196" s="6">
        <v>200</v>
      </c>
      <c r="G196" s="286"/>
    </row>
    <row r="197" spans="1:7" ht="15" thickBot="1">
      <c r="A197" s="32" t="s">
        <v>93</v>
      </c>
      <c r="B197" s="11" t="s">
        <v>87</v>
      </c>
      <c r="C197" s="11">
        <v>8</v>
      </c>
      <c r="D197" s="11">
        <v>4</v>
      </c>
      <c r="E197" s="42" t="s">
        <v>146</v>
      </c>
      <c r="F197" s="12">
        <v>0</v>
      </c>
      <c r="G197" s="302">
        <f>SUM(G198:G199)</f>
        <v>534</v>
      </c>
    </row>
    <row r="198" spans="1:7">
      <c r="A198" s="30" t="s">
        <v>11</v>
      </c>
      <c r="B198" s="4" t="s">
        <v>87</v>
      </c>
      <c r="C198" s="4">
        <v>8</v>
      </c>
      <c r="D198" s="4">
        <v>4</v>
      </c>
      <c r="E198" s="5" t="s">
        <v>151</v>
      </c>
      <c r="F198" s="6">
        <v>100</v>
      </c>
      <c r="G198" s="286">
        <f>пр2!F159</f>
        <v>513</v>
      </c>
    </row>
    <row r="199" spans="1:7" s="81" customFormat="1" ht="15" thickBot="1">
      <c r="A199" s="30" t="s">
        <v>11</v>
      </c>
      <c r="B199" s="4" t="s">
        <v>133</v>
      </c>
      <c r="C199" s="4">
        <v>8</v>
      </c>
      <c r="D199" s="4">
        <v>4</v>
      </c>
      <c r="E199" s="5" t="s">
        <v>151</v>
      </c>
      <c r="F199" s="6">
        <v>200</v>
      </c>
      <c r="G199" s="286">
        <f>пр2!F160</f>
        <v>21</v>
      </c>
    </row>
    <row r="200" spans="1:7" ht="15" thickBot="1">
      <c r="A200" s="29" t="s">
        <v>92</v>
      </c>
      <c r="B200" s="11" t="s">
        <v>87</v>
      </c>
      <c r="C200" s="1">
        <v>8</v>
      </c>
      <c r="D200" s="1">
        <v>0</v>
      </c>
      <c r="E200" s="42" t="s">
        <v>146</v>
      </c>
      <c r="F200" s="3">
        <v>0</v>
      </c>
      <c r="G200" s="284">
        <f>G201</f>
        <v>12297</v>
      </c>
    </row>
    <row r="201" spans="1:7" ht="15" thickBot="1">
      <c r="A201" s="34" t="s">
        <v>50</v>
      </c>
      <c r="B201" s="11" t="s">
        <v>87</v>
      </c>
      <c r="C201" s="19">
        <v>8</v>
      </c>
      <c r="D201" s="19">
        <v>1</v>
      </c>
      <c r="E201" s="42" t="s">
        <v>146</v>
      </c>
      <c r="F201" s="21">
        <v>0</v>
      </c>
      <c r="G201" s="319">
        <f>SUM(G202:G204)</f>
        <v>12297</v>
      </c>
    </row>
    <row r="202" spans="1:7" s="81" customFormat="1">
      <c r="A202" s="30" t="s">
        <v>53</v>
      </c>
      <c r="B202" s="4" t="s">
        <v>134</v>
      </c>
      <c r="C202" s="4">
        <v>8</v>
      </c>
      <c r="D202" s="4">
        <v>1</v>
      </c>
      <c r="E202" s="5" t="s">
        <v>162</v>
      </c>
      <c r="F202" s="6">
        <v>100</v>
      </c>
      <c r="G202" s="343">
        <f>пр2!F152</f>
        <v>11498</v>
      </c>
    </row>
    <row r="203" spans="1:7" s="81" customFormat="1">
      <c r="A203" s="30" t="s">
        <v>53</v>
      </c>
      <c r="B203" s="4" t="s">
        <v>135</v>
      </c>
      <c r="C203" s="4">
        <v>8</v>
      </c>
      <c r="D203" s="4">
        <v>1</v>
      </c>
      <c r="E203" s="5" t="s">
        <v>162</v>
      </c>
      <c r="F203" s="6">
        <v>200</v>
      </c>
      <c r="G203" s="343">
        <f>пр2!F153</f>
        <v>767</v>
      </c>
    </row>
    <row r="204" spans="1:7" ht="15" thickBot="1">
      <c r="A204" s="288" t="s">
        <v>53</v>
      </c>
      <c r="B204" s="183" t="s">
        <v>87</v>
      </c>
      <c r="C204" s="183">
        <v>8</v>
      </c>
      <c r="D204" s="183">
        <v>1</v>
      </c>
      <c r="E204" s="184" t="s">
        <v>162</v>
      </c>
      <c r="F204" s="305">
        <v>800</v>
      </c>
      <c r="G204" s="326">
        <f>пр2!F154</f>
        <v>32</v>
      </c>
    </row>
    <row r="206" spans="1:7" ht="15.6">
      <c r="A206" s="107" t="s">
        <v>111</v>
      </c>
      <c r="B206" s="108"/>
      <c r="C206" s="107"/>
      <c r="D206" s="107"/>
      <c r="E206" s="107"/>
      <c r="F206" s="107"/>
      <c r="G206" s="109">
        <f>G9+G90+G124+G134+G180+G84</f>
        <v>439569.81099999999</v>
      </c>
    </row>
    <row r="208" spans="1:7">
      <c r="G208" s="130">
        <f>G206-пр2!F9</f>
        <v>0</v>
      </c>
    </row>
    <row r="209" spans="7:7">
      <c r="G209" s="130"/>
    </row>
  </sheetData>
  <autoFilter ref="A8:G206">
    <filterColumn colId="6">
      <filters blank="1">
        <filter val="0,5"/>
        <filter val="1000,0"/>
        <filter val="1030,5"/>
        <filter val="11082,5"/>
        <filter val="1127,0"/>
        <filter val="11328,0"/>
        <filter val="11364,5"/>
        <filter val="115,0"/>
        <filter val="11532,0"/>
        <filter val="1170,0"/>
        <filter val="1224,0"/>
        <filter val="129,5"/>
        <filter val="13923,7"/>
        <filter val="1406,0"/>
        <filter val="147,0"/>
        <filter val="15067,7"/>
        <filter val="1508,1"/>
        <filter val="153127,0"/>
        <filter val="1535,0"/>
        <filter val="1607,4"/>
        <filter val="16796,0"/>
        <filter val="1706,0"/>
        <filter val="17228,0"/>
        <filter val="1781,0"/>
        <filter val="1869,7"/>
        <filter val="18697,0"/>
        <filter val="187,0"/>
        <filter val="18783,8"/>
        <filter val="188001,0"/>
        <filter val="19,0"/>
        <filter val="21,0"/>
        <filter val="2100,0"/>
        <filter val="2185,0"/>
        <filter val="23280,1"/>
        <filter val="235,0"/>
        <filter val="2352,0"/>
        <filter val="2409,0"/>
        <filter val="246,0"/>
        <filter val="250,0"/>
        <filter val="2508,1"/>
        <filter val="251,3"/>
        <filter val="2561,0"/>
        <filter val="2666,5"/>
        <filter val="2686,0"/>
        <filter val="2690,0"/>
        <filter val="2745,0"/>
        <filter val="283409,9"/>
        <filter val="2907,0"/>
        <filter val="2958,2"/>
        <filter val="298477,6"/>
        <filter val="30,0"/>
        <filter val="300,0"/>
        <filter val="3031,0"/>
        <filter val="305,0"/>
        <filter val="3050,0"/>
        <filter val="3053,2"/>
        <filter val="3068,0"/>
        <filter val="310,0"/>
        <filter val="315,0"/>
        <filter val="32,0"/>
        <filter val="3203,8"/>
        <filter val="32824,0"/>
        <filter val="3555,5"/>
        <filter val="357,0"/>
        <filter val="36,0"/>
        <filter val="391,2"/>
        <filter val="39723,5"/>
        <filter val="411,9"/>
        <filter val="418248,7"/>
        <filter val="4200,4"/>
        <filter val="4250,0"/>
        <filter val="429,0"/>
        <filter val="440,0"/>
        <filter val="450,0"/>
        <filter val="477,6"/>
        <filter val="486,0"/>
        <filter val="4895,2"/>
        <filter val="500,0"/>
        <filter val="5010,2"/>
        <filter val="509,0"/>
        <filter val="52,0"/>
        <filter val="520,0"/>
        <filter val="52207,3"/>
        <filter val="5259,9"/>
        <filter val="530,0"/>
        <filter val="54582,4"/>
        <filter val="560,0"/>
        <filter val="587,0"/>
        <filter val="600,0"/>
        <filter val="6375,4"/>
        <filter val="64,3"/>
        <filter val="6416,0"/>
        <filter val="6514,0"/>
        <filter val="6654,0"/>
        <filter val="686,5"/>
        <filter val="6905,4"/>
        <filter val="700,0"/>
        <filter val="705,0"/>
        <filter val="783,1"/>
        <filter val="8,0"/>
        <filter val="8023,4"/>
        <filter val="81,6"/>
        <filter val="877,2"/>
        <filter val="8996,8"/>
        <filter val="9006,0"/>
        <filter val="90149,0"/>
        <filter val="9200,0"/>
      </filters>
    </filterColumn>
  </autoFilter>
  <mergeCells count="3">
    <mergeCell ref="A5:G5"/>
    <mergeCell ref="A6:G6"/>
    <mergeCell ref="E4:G4"/>
  </mergeCells>
  <pageMargins left="0.70866141732283472" right="0.15748031496062992" top="0.43307086614173229" bottom="0.23622047244094491" header="0.15748031496062992" footer="0.15748031496062992"/>
  <pageSetup paperSize="9" scale="9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>
      <selection activeCell="F7" sqref="F7"/>
    </sheetView>
  </sheetViews>
  <sheetFormatPr defaultColWidth="9.109375" defaultRowHeight="14.4"/>
  <cols>
    <col min="1" max="1" width="57.6640625" style="81" customWidth="1"/>
    <col min="2" max="2" width="17" style="81" customWidth="1"/>
    <col min="3" max="3" width="14" style="81" customWidth="1"/>
    <col min="4" max="16384" width="9.109375" style="81"/>
  </cols>
  <sheetData>
    <row r="1" spans="1:3" ht="15.6">
      <c r="A1" s="233"/>
      <c r="B1" s="233"/>
      <c r="C1" s="44" t="s">
        <v>264</v>
      </c>
    </row>
    <row r="2" spans="1:3" ht="15.6">
      <c r="A2" s="233"/>
      <c r="B2" s="233"/>
      <c r="C2" s="79" t="s">
        <v>76</v>
      </c>
    </row>
    <row r="3" spans="1:3" ht="15.6">
      <c r="A3" s="233"/>
      <c r="B3" s="233"/>
      <c r="C3" s="79" t="s">
        <v>77</v>
      </c>
    </row>
    <row r="4" spans="1:3" ht="15.6">
      <c r="A4" s="233"/>
      <c r="B4" s="233"/>
      <c r="C4" s="79" t="s">
        <v>363</v>
      </c>
    </row>
    <row r="5" spans="1:3" ht="15.6">
      <c r="A5" s="233"/>
      <c r="B5" s="233"/>
      <c r="C5" s="234"/>
    </row>
    <row r="6" spans="1:3" ht="15.6">
      <c r="A6" s="233"/>
      <c r="B6" s="233"/>
      <c r="C6" s="233"/>
    </row>
    <row r="7" spans="1:3" ht="18">
      <c r="A7" s="235" t="s">
        <v>265</v>
      </c>
      <c r="B7" s="236" t="s">
        <v>266</v>
      </c>
      <c r="C7" s="236" t="s">
        <v>5</v>
      </c>
    </row>
    <row r="8" spans="1:3" ht="46.8">
      <c r="A8" s="237" t="s">
        <v>175</v>
      </c>
      <c r="B8" s="238"/>
      <c r="C8" s="239">
        <v>2.9180000000000001</v>
      </c>
    </row>
    <row r="9" spans="1:3" ht="31.2">
      <c r="A9" s="237" t="s">
        <v>276</v>
      </c>
      <c r="B9" s="238"/>
      <c r="C9" s="239">
        <v>20.427250000000001</v>
      </c>
    </row>
    <row r="10" spans="1:3" ht="46.8">
      <c r="A10" s="237" t="s">
        <v>275</v>
      </c>
      <c r="B10" s="238"/>
      <c r="C10" s="239">
        <v>3</v>
      </c>
    </row>
    <row r="11" spans="1:3" ht="46.8">
      <c r="A11" s="237" t="s">
        <v>267</v>
      </c>
      <c r="B11" s="238"/>
      <c r="C11" s="239">
        <v>233.67599999999999</v>
      </c>
    </row>
    <row r="12" spans="1:3" ht="46.8">
      <c r="A12" s="237" t="s">
        <v>272</v>
      </c>
      <c r="B12" s="238" t="s">
        <v>273</v>
      </c>
      <c r="C12" s="239">
        <v>15.778</v>
      </c>
    </row>
    <row r="13" spans="1:3" ht="78">
      <c r="A13" s="237" t="s">
        <v>268</v>
      </c>
      <c r="B13" s="238" t="s">
        <v>271</v>
      </c>
      <c r="C13" s="239">
        <v>0.5</v>
      </c>
    </row>
    <row r="14" spans="1:3" ht="93.6">
      <c r="A14" s="237" t="s">
        <v>269</v>
      </c>
      <c r="B14" s="238"/>
      <c r="C14" s="239">
        <v>914.09232999999995</v>
      </c>
    </row>
    <row r="15" spans="1:3" ht="46.8">
      <c r="A15" s="237" t="s">
        <v>274</v>
      </c>
      <c r="B15" s="238"/>
      <c r="C15" s="239">
        <v>1779.489</v>
      </c>
    </row>
    <row r="16" spans="1:3" ht="15.6">
      <c r="A16" s="237"/>
      <c r="B16" s="238"/>
      <c r="C16" s="239"/>
    </row>
    <row r="17" spans="1:3" ht="15.6">
      <c r="A17" s="240" t="s">
        <v>270</v>
      </c>
      <c r="B17" s="241"/>
      <c r="C17" s="242">
        <f>SUM(C8:C16)</f>
        <v>2969.88058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H7" sqref="H7"/>
    </sheetView>
  </sheetViews>
  <sheetFormatPr defaultRowHeight="14.4"/>
  <cols>
    <col min="1" max="1" width="23.88671875" style="81" customWidth="1"/>
    <col min="2" max="2" width="49.6640625" style="81" customWidth="1"/>
    <col min="3" max="4" width="11.44140625" style="81" customWidth="1"/>
    <col min="5" max="6" width="9.109375" style="81"/>
  </cols>
  <sheetData>
    <row r="1" spans="1:4">
      <c r="D1" s="79" t="s">
        <v>179</v>
      </c>
    </row>
    <row r="2" spans="1:4">
      <c r="D2" s="79" t="s">
        <v>76</v>
      </c>
    </row>
    <row r="3" spans="1:4">
      <c r="B3" s="111"/>
      <c r="D3" s="79" t="s">
        <v>77</v>
      </c>
    </row>
    <row r="4" spans="1:4">
      <c r="B4" s="111"/>
      <c r="C4" s="403" t="s">
        <v>363</v>
      </c>
      <c r="D4" s="403"/>
    </row>
    <row r="5" spans="1:4" ht="42.75" customHeight="1">
      <c r="A5" s="410" t="s">
        <v>348</v>
      </c>
      <c r="B5" s="410"/>
      <c r="C5" s="410"/>
      <c r="D5" s="410"/>
    </row>
    <row r="6" spans="1:4" ht="7.5" customHeight="1"/>
    <row r="7" spans="1:4" ht="131.25" customHeight="1">
      <c r="A7" s="115" t="s">
        <v>120</v>
      </c>
      <c r="B7" s="116" t="s">
        <v>127</v>
      </c>
      <c r="C7" s="411" t="s">
        <v>128</v>
      </c>
      <c r="D7" s="412"/>
    </row>
    <row r="8" spans="1:4" ht="28.8">
      <c r="A8" s="113" t="s">
        <v>121</v>
      </c>
      <c r="B8" s="114" t="s">
        <v>122</v>
      </c>
      <c r="C8" s="404">
        <f>C10-C9</f>
        <v>-1220.5889999999781</v>
      </c>
      <c r="D8" s="405"/>
    </row>
    <row r="9" spans="1:4" ht="28.8">
      <c r="A9" s="59" t="s">
        <v>123</v>
      </c>
      <c r="B9" s="112" t="s">
        <v>124</v>
      </c>
      <c r="C9" s="406">
        <f>пр1!G57</f>
        <v>440790.39999999997</v>
      </c>
      <c r="D9" s="407"/>
    </row>
    <row r="10" spans="1:4" ht="28.8">
      <c r="A10" s="59" t="s">
        <v>125</v>
      </c>
      <c r="B10" s="112" t="s">
        <v>126</v>
      </c>
      <c r="C10" s="413">
        <f>пр2!F9</f>
        <v>439569.81099999999</v>
      </c>
      <c r="D10" s="414"/>
    </row>
    <row r="11" spans="1:4" ht="28.8">
      <c r="A11" s="113" t="s">
        <v>201</v>
      </c>
      <c r="B11" s="114" t="s">
        <v>202</v>
      </c>
      <c r="C11" s="404">
        <f>C12</f>
        <v>2000</v>
      </c>
      <c r="D11" s="405"/>
    </row>
    <row r="12" spans="1:4" ht="43.2">
      <c r="A12" s="59" t="s">
        <v>203</v>
      </c>
      <c r="B12" s="112" t="s">
        <v>204</v>
      </c>
      <c r="C12" s="406">
        <f>C13</f>
        <v>2000</v>
      </c>
      <c r="D12" s="407"/>
    </row>
    <row r="13" spans="1:4" ht="57.6">
      <c r="A13" s="59" t="s">
        <v>205</v>
      </c>
      <c r="B13" s="112" t="s">
        <v>206</v>
      </c>
      <c r="C13" s="408">
        <v>2000</v>
      </c>
      <c r="D13" s="409"/>
    </row>
    <row r="14" spans="1:4" ht="28.8">
      <c r="A14" s="113"/>
      <c r="B14" s="114" t="s">
        <v>130</v>
      </c>
      <c r="C14" s="404">
        <f>C11+C8</f>
        <v>779.41100000002189</v>
      </c>
      <c r="D14" s="405"/>
    </row>
    <row r="15" spans="1:4">
      <c r="B15" s="84" t="s">
        <v>129</v>
      </c>
    </row>
  </sheetData>
  <mergeCells count="10">
    <mergeCell ref="C4:D4"/>
    <mergeCell ref="C11:D11"/>
    <mergeCell ref="C12:D12"/>
    <mergeCell ref="C13:D13"/>
    <mergeCell ref="C14:D14"/>
    <mergeCell ref="A5:D5"/>
    <mergeCell ref="C7:D7"/>
    <mergeCell ref="C8:D8"/>
    <mergeCell ref="C9:D9"/>
    <mergeCell ref="C10:D10"/>
  </mergeCells>
  <pageMargins left="0.70866141732283472" right="7.874015748031496E-2" top="0.31496062992125984" bottom="0.27559055118110237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>
      <selection activeCell="N7" sqref="N7"/>
    </sheetView>
  </sheetViews>
  <sheetFormatPr defaultColWidth="9.109375" defaultRowHeight="14.4"/>
  <cols>
    <col min="1" max="1" width="20.88671875" style="81" customWidth="1"/>
    <col min="2" max="2" width="12.44140625" style="81" customWidth="1"/>
    <col min="3" max="3" width="11.21875" style="81" customWidth="1"/>
    <col min="4" max="4" width="15.33203125" style="81" customWidth="1"/>
    <col min="5" max="5" width="12.21875" style="81" customWidth="1"/>
    <col min="6" max="6" width="9.88671875" style="81" customWidth="1"/>
    <col min="7" max="7" width="11.77734375" style="81" customWidth="1"/>
    <col min="8" max="8" width="11.6640625" style="81" customWidth="1"/>
    <col min="9" max="9" width="10.77734375" style="81" customWidth="1"/>
    <col min="10" max="10" width="11.33203125" style="81" customWidth="1"/>
    <col min="11" max="11" width="13.77734375" style="81" customWidth="1"/>
    <col min="12" max="16384" width="9.109375" style="81"/>
  </cols>
  <sheetData>
    <row r="1" spans="1:11">
      <c r="A1" s="63"/>
      <c r="B1" s="63"/>
      <c r="C1" s="63"/>
      <c r="D1" s="63"/>
      <c r="E1" s="63"/>
      <c r="F1" s="63"/>
      <c r="G1" s="63"/>
      <c r="H1" s="63"/>
      <c r="I1" s="63"/>
      <c r="K1" s="79" t="s">
        <v>196</v>
      </c>
    </row>
    <row r="2" spans="1:11">
      <c r="A2" s="63"/>
      <c r="B2" s="63"/>
      <c r="C2" s="63"/>
      <c r="D2" s="63"/>
      <c r="E2" s="63"/>
      <c r="F2" s="63"/>
      <c r="G2" s="63"/>
      <c r="H2" s="63"/>
      <c r="I2" s="63"/>
      <c r="K2" s="79" t="s">
        <v>76</v>
      </c>
    </row>
    <row r="3" spans="1:11">
      <c r="A3" s="63"/>
      <c r="B3" s="63"/>
      <c r="C3" s="63"/>
      <c r="D3" s="63"/>
      <c r="E3" s="63"/>
      <c r="F3" s="63"/>
      <c r="G3" s="63"/>
      <c r="H3" s="63"/>
      <c r="I3" s="63"/>
      <c r="K3" s="79" t="s">
        <v>77</v>
      </c>
    </row>
    <row r="4" spans="1:11">
      <c r="A4" s="63"/>
      <c r="B4" s="63"/>
      <c r="C4" s="63"/>
      <c r="D4" s="63"/>
      <c r="E4" s="63"/>
      <c r="F4" s="63"/>
      <c r="G4" s="63"/>
      <c r="H4" s="63"/>
      <c r="I4" s="63"/>
      <c r="K4" s="79" t="s">
        <v>364</v>
      </c>
    </row>
    <row r="5" spans="1:11" ht="27" customHeight="1">
      <c r="A5" s="421" t="s">
        <v>349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</row>
    <row r="6" spans="1:11" ht="29.25" customHeight="1" thickBo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</row>
    <row r="7" spans="1:11" ht="16.2" thickBot="1">
      <c r="A7" s="423" t="s">
        <v>180</v>
      </c>
      <c r="B7" s="426" t="s">
        <v>181</v>
      </c>
      <c r="C7" s="427"/>
      <c r="D7" s="427"/>
      <c r="E7" s="427"/>
      <c r="F7" s="427"/>
      <c r="G7" s="427"/>
      <c r="H7" s="427"/>
      <c r="I7" s="427"/>
      <c r="J7" s="427"/>
      <c r="K7" s="428"/>
    </row>
    <row r="8" spans="1:11" ht="15" customHeight="1">
      <c r="A8" s="424"/>
      <c r="B8" s="415" t="s">
        <v>182</v>
      </c>
      <c r="C8" s="415" t="s">
        <v>356</v>
      </c>
      <c r="D8" s="415" t="s">
        <v>357</v>
      </c>
      <c r="E8" s="415" t="s">
        <v>358</v>
      </c>
      <c r="F8" s="415" t="s">
        <v>359</v>
      </c>
      <c r="G8" s="415" t="s">
        <v>199</v>
      </c>
      <c r="H8" s="415" t="s">
        <v>207</v>
      </c>
      <c r="I8" s="415" t="s">
        <v>360</v>
      </c>
      <c r="J8" s="418" t="s">
        <v>183</v>
      </c>
      <c r="K8" s="415" t="s">
        <v>184</v>
      </c>
    </row>
    <row r="9" spans="1:11">
      <c r="A9" s="424"/>
      <c r="B9" s="416"/>
      <c r="C9" s="416"/>
      <c r="D9" s="416"/>
      <c r="E9" s="416"/>
      <c r="F9" s="416"/>
      <c r="G9" s="416"/>
      <c r="H9" s="416"/>
      <c r="I9" s="416"/>
      <c r="J9" s="419"/>
      <c r="K9" s="416"/>
    </row>
    <row r="10" spans="1:11" ht="28.5" customHeight="1" thickBot="1">
      <c r="A10" s="425"/>
      <c r="B10" s="417"/>
      <c r="C10" s="416"/>
      <c r="D10" s="416"/>
      <c r="E10" s="429"/>
      <c r="F10" s="429"/>
      <c r="G10" s="417"/>
      <c r="H10" s="417"/>
      <c r="I10" s="417"/>
      <c r="J10" s="420"/>
      <c r="K10" s="417"/>
    </row>
    <row r="11" spans="1:11" ht="15" thickBot="1">
      <c r="A11" s="179">
        <v>1</v>
      </c>
      <c r="B11" s="377">
        <v>2</v>
      </c>
      <c r="C11" s="378">
        <v>3</v>
      </c>
      <c r="D11" s="378">
        <v>4</v>
      </c>
      <c r="E11" s="379">
        <v>5</v>
      </c>
      <c r="F11" s="378">
        <v>6</v>
      </c>
      <c r="G11" s="380">
        <v>7</v>
      </c>
      <c r="H11" s="381">
        <v>8</v>
      </c>
      <c r="I11" s="381">
        <v>9</v>
      </c>
      <c r="J11" s="381">
        <v>10</v>
      </c>
      <c r="K11" s="179">
        <v>11</v>
      </c>
    </row>
    <row r="12" spans="1:11" ht="16.2" thickBot="1">
      <c r="A12" s="382" t="s">
        <v>185</v>
      </c>
      <c r="B12" s="383">
        <v>3753</v>
      </c>
      <c r="C12" s="180">
        <f>200+50+300</f>
        <v>550</v>
      </c>
      <c r="D12" s="384"/>
      <c r="E12" s="384">
        <v>150</v>
      </c>
      <c r="F12" s="384"/>
      <c r="G12" s="385">
        <f>450*1.1</f>
        <v>495.00000000000006</v>
      </c>
      <c r="H12" s="385">
        <v>988.8</v>
      </c>
      <c r="I12" s="385"/>
      <c r="J12" s="386">
        <f>204+16</f>
        <v>220</v>
      </c>
      <c r="K12" s="387">
        <f>SUM(B12:J12)</f>
        <v>6156.8</v>
      </c>
    </row>
    <row r="13" spans="1:11" ht="16.2" thickBot="1">
      <c r="A13" s="382" t="s">
        <v>186</v>
      </c>
      <c r="B13" s="383">
        <v>7700</v>
      </c>
      <c r="C13" s="180">
        <v>200</v>
      </c>
      <c r="D13" s="388"/>
      <c r="E13" s="388">
        <v>300</v>
      </c>
      <c r="F13" s="388">
        <v>300</v>
      </c>
      <c r="G13" s="388">
        <f>980*1.1+2300</f>
        <v>3378</v>
      </c>
      <c r="H13" s="384">
        <v>1349.9</v>
      </c>
      <c r="I13" s="384">
        <f>928.3+213.884</f>
        <v>1142.184</v>
      </c>
      <c r="J13" s="389">
        <f>218+31</f>
        <v>249</v>
      </c>
      <c r="K13" s="387">
        <f t="shared" ref="K13:K22" si="0">SUM(B13:J13)</f>
        <v>14619.083999999999</v>
      </c>
    </row>
    <row r="14" spans="1:11" ht="16.2" thickBot="1">
      <c r="A14" s="382" t="s">
        <v>187</v>
      </c>
      <c r="B14" s="383">
        <v>5474</v>
      </c>
      <c r="C14" s="180">
        <f>50+60</f>
        <v>110</v>
      </c>
      <c r="D14" s="388">
        <v>31.466000000000001</v>
      </c>
      <c r="E14" s="388">
        <v>150</v>
      </c>
      <c r="F14" s="388"/>
      <c r="G14" s="388">
        <f>660*1.1</f>
        <v>726.00000000000011</v>
      </c>
      <c r="H14" s="384"/>
      <c r="I14" s="384">
        <v>1902.502</v>
      </c>
      <c r="J14" s="389">
        <f>208+20</f>
        <v>228</v>
      </c>
      <c r="K14" s="387">
        <f t="shared" si="0"/>
        <v>8621.9680000000008</v>
      </c>
    </row>
    <row r="15" spans="1:11" ht="16.2" thickBot="1">
      <c r="A15" s="382" t="s">
        <v>188</v>
      </c>
      <c r="B15" s="383">
        <v>1421</v>
      </c>
      <c r="C15" s="180">
        <f>300+50</f>
        <v>350</v>
      </c>
      <c r="D15" s="388"/>
      <c r="E15" s="388">
        <v>50</v>
      </c>
      <c r="F15" s="388"/>
      <c r="G15" s="388">
        <f>110*1.1</f>
        <v>121.00000000000001</v>
      </c>
      <c r="H15" s="384">
        <v>643.54999999999995</v>
      </c>
      <c r="I15" s="384"/>
      <c r="J15" s="389">
        <f>79+3</f>
        <v>82</v>
      </c>
      <c r="K15" s="387">
        <f t="shared" si="0"/>
        <v>2667.55</v>
      </c>
    </row>
    <row r="16" spans="1:11" ht="16.2" thickBot="1">
      <c r="A16" s="390" t="s">
        <v>189</v>
      </c>
      <c r="B16" s="383">
        <v>2090</v>
      </c>
      <c r="C16" s="180">
        <f>250+100</f>
        <v>350</v>
      </c>
      <c r="D16" s="388"/>
      <c r="E16" s="388">
        <v>50</v>
      </c>
      <c r="F16" s="388">
        <v>300</v>
      </c>
      <c r="G16" s="388">
        <f>280*1.1+250-250</f>
        <v>308</v>
      </c>
      <c r="H16" s="384">
        <v>455.19</v>
      </c>
      <c r="I16" s="384"/>
      <c r="J16" s="389">
        <f>81+6</f>
        <v>87</v>
      </c>
      <c r="K16" s="387">
        <f t="shared" si="0"/>
        <v>3640.19</v>
      </c>
    </row>
    <row r="17" spans="1:11" ht="16.2" thickBot="1">
      <c r="A17" s="382" t="s">
        <v>190</v>
      </c>
      <c r="B17" s="383">
        <v>4944</v>
      </c>
      <c r="C17" s="180">
        <f>200+500+3000</f>
        <v>3700</v>
      </c>
      <c r="D17" s="388"/>
      <c r="E17" s="388">
        <v>150</v>
      </c>
      <c r="F17" s="388"/>
      <c r="G17" s="388">
        <f>570*1.1</f>
        <v>627</v>
      </c>
      <c r="H17" s="384">
        <v>824.06</v>
      </c>
      <c r="I17" s="384">
        <f>1500-3.614</f>
        <v>1496.386</v>
      </c>
      <c r="J17" s="389">
        <f>85+9</f>
        <v>94</v>
      </c>
      <c r="K17" s="387">
        <f t="shared" si="0"/>
        <v>11835.446</v>
      </c>
    </row>
    <row r="18" spans="1:11" ht="16.2" thickBot="1">
      <c r="A18" s="382" t="s">
        <v>191</v>
      </c>
      <c r="B18" s="383">
        <f>1221+140-1</f>
        <v>1360</v>
      </c>
      <c r="C18" s="180">
        <f>300+100</f>
        <v>400</v>
      </c>
      <c r="D18" s="388"/>
      <c r="E18" s="388">
        <v>50</v>
      </c>
      <c r="F18" s="388"/>
      <c r="G18" s="388">
        <f>110*1.1+300-300</f>
        <v>121</v>
      </c>
      <c r="H18" s="384">
        <v>557.22</v>
      </c>
      <c r="I18" s="384"/>
      <c r="J18" s="389">
        <f>79+3</f>
        <v>82</v>
      </c>
      <c r="K18" s="387">
        <f t="shared" si="0"/>
        <v>2570.2200000000003</v>
      </c>
    </row>
    <row r="19" spans="1:11" ht="16.2" thickBot="1">
      <c r="A19" s="382" t="s">
        <v>192</v>
      </c>
      <c r="B19" s="383">
        <v>2700</v>
      </c>
      <c r="C19" s="180">
        <f>600+150+300+200</f>
        <v>1250</v>
      </c>
      <c r="D19" s="388">
        <v>7.7889999999999997</v>
      </c>
      <c r="E19" s="388">
        <v>50</v>
      </c>
      <c r="F19" s="388"/>
      <c r="G19" s="388">
        <f>320*1.1+1000+600-600</f>
        <v>1352</v>
      </c>
      <c r="H19" s="384">
        <v>667.1</v>
      </c>
      <c r="I19" s="384">
        <v>500</v>
      </c>
      <c r="J19" s="389">
        <f>92+5</f>
        <v>97</v>
      </c>
      <c r="K19" s="387">
        <f t="shared" si="0"/>
        <v>6623.889000000001</v>
      </c>
    </row>
    <row r="20" spans="1:11" ht="16.2" thickBot="1">
      <c r="A20" s="382" t="s">
        <v>193</v>
      </c>
      <c r="B20" s="383">
        <v>2190</v>
      </c>
      <c r="C20" s="180">
        <f>300+50+100+600</f>
        <v>1050</v>
      </c>
      <c r="D20" s="388">
        <v>56.570999999999998</v>
      </c>
      <c r="E20" s="388">
        <v>50</v>
      </c>
      <c r="F20" s="388">
        <v>300</v>
      </c>
      <c r="G20" s="388">
        <f>260*1.1+250+50-300</f>
        <v>286</v>
      </c>
      <c r="H20" s="384">
        <v>397.56</v>
      </c>
      <c r="I20" s="384">
        <f>1000-138.57</f>
        <v>861.43000000000006</v>
      </c>
      <c r="J20" s="389">
        <f>78+2</f>
        <v>80</v>
      </c>
      <c r="K20" s="387">
        <f t="shared" si="0"/>
        <v>5271.5610000000006</v>
      </c>
    </row>
    <row r="21" spans="1:11" ht="16.2" thickBot="1">
      <c r="A21" s="382" t="s">
        <v>194</v>
      </c>
      <c r="B21" s="383">
        <v>1004</v>
      </c>
      <c r="C21" s="180">
        <f>500+50+100+50</f>
        <v>700</v>
      </c>
      <c r="D21" s="388"/>
      <c r="E21" s="388">
        <v>50</v>
      </c>
      <c r="F21" s="388"/>
      <c r="G21" s="388">
        <f>60*1.1</f>
        <v>66</v>
      </c>
      <c r="H21" s="384">
        <v>137.52000000000001</v>
      </c>
      <c r="I21" s="384"/>
      <c r="J21" s="389">
        <f>78+2</f>
        <v>80</v>
      </c>
      <c r="K21" s="387">
        <f t="shared" si="0"/>
        <v>2037.52</v>
      </c>
    </row>
    <row r="22" spans="1:11" ht="16.2" thickBot="1">
      <c r="A22" s="382"/>
      <c r="B22" s="383"/>
      <c r="C22" s="180"/>
      <c r="D22" s="388"/>
      <c r="E22" s="388"/>
      <c r="F22" s="388"/>
      <c r="G22" s="388"/>
      <c r="H22" s="391"/>
      <c r="I22" s="391"/>
      <c r="J22" s="392"/>
      <c r="K22" s="387">
        <f t="shared" si="0"/>
        <v>0</v>
      </c>
    </row>
    <row r="23" spans="1:11" ht="16.2" thickBot="1">
      <c r="A23" s="181" t="s">
        <v>195</v>
      </c>
      <c r="B23" s="182">
        <f>SUM(B12:B22)</f>
        <v>32636</v>
      </c>
      <c r="C23" s="182">
        <f>SUM(C12:C22)</f>
        <v>8660</v>
      </c>
      <c r="D23" s="182">
        <f>SUM(D12:D22)</f>
        <v>95.825999999999993</v>
      </c>
      <c r="E23" s="182">
        <f>SUM(E12:E22)</f>
        <v>1050</v>
      </c>
      <c r="F23" s="182">
        <f>SUM(F12:F22)</f>
        <v>900</v>
      </c>
      <c r="G23" s="182">
        <f t="shared" ref="G23:J23" si="1">SUM(G12:G22)</f>
        <v>7480</v>
      </c>
      <c r="H23" s="182">
        <f t="shared" si="1"/>
        <v>6020.9000000000015</v>
      </c>
      <c r="I23" s="182">
        <f t="shared" si="1"/>
        <v>5902.5020000000004</v>
      </c>
      <c r="J23" s="182">
        <f t="shared" si="1"/>
        <v>1299</v>
      </c>
      <c r="K23" s="387">
        <f>SUM(B23:J23)</f>
        <v>64044.228000000003</v>
      </c>
    </row>
    <row r="25" spans="1:11">
      <c r="C25" s="80"/>
      <c r="D25" s="80"/>
      <c r="K25" s="80"/>
    </row>
    <row r="26" spans="1:11">
      <c r="B26" s="80"/>
      <c r="F26" s="80"/>
      <c r="H26" s="80"/>
    </row>
    <row r="27" spans="1:11">
      <c r="B27" s="80"/>
    </row>
  </sheetData>
  <mergeCells count="13">
    <mergeCell ref="I8:I10"/>
    <mergeCell ref="J8:J10"/>
    <mergeCell ref="K8:K10"/>
    <mergeCell ref="A5:K6"/>
    <mergeCell ref="A7:A10"/>
    <mergeCell ref="B7:K7"/>
    <mergeCell ref="B8:B10"/>
    <mergeCell ref="C8:C10"/>
    <mergeCell ref="D8:D10"/>
    <mergeCell ref="E8:E10"/>
    <mergeCell ref="F8:F10"/>
    <mergeCell ref="G8:G10"/>
    <mergeCell ref="H8:H1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пр1</vt:lpstr>
      <vt:lpstr>пр2</vt:lpstr>
      <vt:lpstr>пр3</vt:lpstr>
      <vt:lpstr>пр4</vt:lpstr>
      <vt:lpstr>пр5</vt:lpstr>
      <vt:lpstr>пр6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2021-04-28T06:15:26Z</dcterms:modified>
</cp:coreProperties>
</file>